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ej Tabaček\Documents\UCTOVNICTVO\rozpocet\2017\"/>
    </mc:Choice>
  </mc:AlternateContent>
  <bookViews>
    <workbookView xWindow="0" yWindow="450" windowWidth="16380" windowHeight="8190" tabRatio="500"/>
  </bookViews>
  <sheets>
    <sheet name="príjmy" sheetId="1" r:id="rId1"/>
    <sheet name="výdaje" sheetId="2" r:id="rId2"/>
    <sheet name="skratky" sheetId="3" r:id="rId3"/>
  </sheets>
  <calcPr calcId="171027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K562" i="2" l="1"/>
  <c r="J562" i="2"/>
  <c r="I562" i="2"/>
  <c r="H562" i="2"/>
  <c r="G562" i="2"/>
  <c r="M561" i="2"/>
  <c r="L561" i="2"/>
  <c r="L562" i="2" s="1"/>
  <c r="L555" i="2" s="1"/>
  <c r="L556" i="2" s="1"/>
  <c r="G556" i="2"/>
  <c r="K555" i="2"/>
  <c r="K556" i="2" s="1"/>
  <c r="J555" i="2"/>
  <c r="J556" i="2" s="1"/>
  <c r="I555" i="2"/>
  <c r="I556" i="2" s="1"/>
  <c r="H555" i="2"/>
  <c r="H556" i="2" s="1"/>
  <c r="G555" i="2"/>
  <c r="M548" i="2"/>
  <c r="G548" i="2"/>
  <c r="M547" i="2"/>
  <c r="L547" i="2"/>
  <c r="K547" i="2"/>
  <c r="K548" i="2" s="1"/>
  <c r="J547" i="2"/>
  <c r="J548" i="2" s="1"/>
  <c r="I547" i="2"/>
  <c r="I548" i="2" s="1"/>
  <c r="H547" i="2"/>
  <c r="H548" i="2" s="1"/>
  <c r="G547" i="2"/>
  <c r="K542" i="2"/>
  <c r="L537" i="2"/>
  <c r="G537" i="2"/>
  <c r="M536" i="2"/>
  <c r="M537" i="2" s="1"/>
  <c r="L536" i="2"/>
  <c r="K536" i="2"/>
  <c r="K537" i="2" s="1"/>
  <c r="J536" i="2"/>
  <c r="J537" i="2" s="1"/>
  <c r="I536" i="2"/>
  <c r="I537" i="2" s="1"/>
  <c r="H536" i="2"/>
  <c r="H537" i="2" s="1"/>
  <c r="K525" i="2"/>
  <c r="I525" i="2"/>
  <c r="M524" i="2"/>
  <c r="M525" i="2" s="1"/>
  <c r="L524" i="2"/>
  <c r="L525" i="2" s="1"/>
  <c r="K524" i="2"/>
  <c r="J524" i="2"/>
  <c r="J525" i="2" s="1"/>
  <c r="I524" i="2"/>
  <c r="H524" i="2"/>
  <c r="G524" i="2"/>
  <c r="G525" i="2" s="1"/>
  <c r="I507" i="2"/>
  <c r="G507" i="2"/>
  <c r="M506" i="2"/>
  <c r="M507" i="2" s="1"/>
  <c r="L506" i="2"/>
  <c r="K506" i="2"/>
  <c r="K507" i="2" s="1"/>
  <c r="J506" i="2"/>
  <c r="J507" i="2" s="1"/>
  <c r="I506" i="2"/>
  <c r="H506" i="2"/>
  <c r="G506" i="2"/>
  <c r="L505" i="2"/>
  <c r="H505" i="2"/>
  <c r="H507" i="2" s="1"/>
  <c r="K501" i="2"/>
  <c r="K500" i="2"/>
  <c r="K497" i="2"/>
  <c r="J497" i="2"/>
  <c r="I497" i="2"/>
  <c r="M496" i="2"/>
  <c r="M497" i="2" s="1"/>
  <c r="L496" i="2"/>
  <c r="L497" i="2" s="1"/>
  <c r="K496" i="2"/>
  <c r="I496" i="2"/>
  <c r="H496" i="2"/>
  <c r="H497" i="2" s="1"/>
  <c r="G496" i="2"/>
  <c r="M495" i="2"/>
  <c r="L495" i="2"/>
  <c r="J495" i="2"/>
  <c r="I495" i="2"/>
  <c r="H495" i="2"/>
  <c r="G495" i="2"/>
  <c r="L484" i="2"/>
  <c r="M483" i="2"/>
  <c r="M484" i="2" s="1"/>
  <c r="L483" i="2"/>
  <c r="K483" i="2"/>
  <c r="K484" i="2" s="1"/>
  <c r="J483" i="2"/>
  <c r="J484" i="2" s="1"/>
  <c r="I483" i="2"/>
  <c r="I484" i="2" s="1"/>
  <c r="H483" i="2"/>
  <c r="H484" i="2" s="1"/>
  <c r="G483" i="2"/>
  <c r="G484" i="2" s="1"/>
  <c r="L475" i="2"/>
  <c r="K473" i="2"/>
  <c r="L470" i="2"/>
  <c r="M469" i="2"/>
  <c r="M470" i="2" s="1"/>
  <c r="L469" i="2"/>
  <c r="K469" i="2"/>
  <c r="J469" i="2"/>
  <c r="J470" i="2" s="1"/>
  <c r="I469" i="2"/>
  <c r="I470" i="2" s="1"/>
  <c r="H469" i="2"/>
  <c r="H470" i="2" s="1"/>
  <c r="G469" i="2"/>
  <c r="G470" i="2" s="1"/>
  <c r="L468" i="2"/>
  <c r="K468" i="2"/>
  <c r="K470" i="2" s="1"/>
  <c r="J462" i="2"/>
  <c r="J460" i="2"/>
  <c r="J458" i="2" s="1"/>
  <c r="K458" i="2"/>
  <c r="L455" i="2"/>
  <c r="K455" i="2"/>
  <c r="J455" i="2"/>
  <c r="H455" i="2"/>
  <c r="M454" i="2"/>
  <c r="M453" i="2"/>
  <c r="M455" i="2" s="1"/>
  <c r="I453" i="2"/>
  <c r="I455" i="2" s="1"/>
  <c r="H453" i="2"/>
  <c r="G453" i="2"/>
  <c r="G455" i="2" s="1"/>
  <c r="M448" i="2"/>
  <c r="L448" i="2"/>
  <c r="K448" i="2"/>
  <c r="K8" i="2" s="1"/>
  <c r="K14" i="2" s="1"/>
  <c r="J448" i="2"/>
  <c r="I448" i="2"/>
  <c r="H448" i="2"/>
  <c r="G448" i="2"/>
  <c r="M447" i="2"/>
  <c r="J447" i="2"/>
  <c r="J7" i="2" s="1"/>
  <c r="J9" i="2" s="1"/>
  <c r="I447" i="2"/>
  <c r="M446" i="2"/>
  <c r="M449" i="2" s="1"/>
  <c r="K446" i="2"/>
  <c r="J446" i="2"/>
  <c r="I446" i="2"/>
  <c r="H446" i="2"/>
  <c r="G446" i="2"/>
  <c r="K442" i="2"/>
  <c r="H442" i="2"/>
  <c r="M441" i="2"/>
  <c r="L441" i="2"/>
  <c r="K441" i="2"/>
  <c r="J441" i="2"/>
  <c r="I441" i="2"/>
  <c r="H441" i="2"/>
  <c r="G441" i="2"/>
  <c r="G442" i="2" s="1"/>
  <c r="M437" i="2"/>
  <c r="M442" i="2" s="1"/>
  <c r="L437" i="2"/>
  <c r="L442" i="2" s="1"/>
  <c r="K437" i="2"/>
  <c r="J437" i="2"/>
  <c r="J442" i="2" s="1"/>
  <c r="I437" i="2"/>
  <c r="I442" i="2" s="1"/>
  <c r="H437" i="2"/>
  <c r="G437" i="2"/>
  <c r="H430" i="2"/>
  <c r="L429" i="2"/>
  <c r="K429" i="2"/>
  <c r="J429" i="2"/>
  <c r="I429" i="2"/>
  <c r="H429" i="2"/>
  <c r="G429" i="2"/>
  <c r="M428" i="2"/>
  <c r="L428" i="2"/>
  <c r="M427" i="2"/>
  <c r="M429" i="2" s="1"/>
  <c r="L427" i="2"/>
  <c r="K426" i="2"/>
  <c r="K430" i="2" s="1"/>
  <c r="J426" i="2"/>
  <c r="J430" i="2" s="1"/>
  <c r="I426" i="2"/>
  <c r="I430" i="2" s="1"/>
  <c r="H426" i="2"/>
  <c r="G426" i="2"/>
  <c r="M425" i="2"/>
  <c r="L425" i="2"/>
  <c r="L424" i="2"/>
  <c r="L426" i="2" s="1"/>
  <c r="M420" i="2"/>
  <c r="L420" i="2"/>
  <c r="L419" i="2"/>
  <c r="M419" i="2" s="1"/>
  <c r="I419" i="2"/>
  <c r="K417" i="2"/>
  <c r="J417" i="2"/>
  <c r="I417" i="2"/>
  <c r="H417" i="2"/>
  <c r="G417" i="2"/>
  <c r="G393" i="2" s="1"/>
  <c r="M416" i="2"/>
  <c r="M417" i="2" s="1"/>
  <c r="L416" i="2"/>
  <c r="L417" i="2" s="1"/>
  <c r="L410" i="2"/>
  <c r="M410" i="2" s="1"/>
  <c r="M409" i="2"/>
  <c r="L409" i="2"/>
  <c r="G407" i="2"/>
  <c r="J406" i="2"/>
  <c r="I406" i="2"/>
  <c r="H406" i="2"/>
  <c r="G406" i="2"/>
  <c r="M405" i="2"/>
  <c r="K404" i="2"/>
  <c r="L404" i="2" s="1"/>
  <c r="K401" i="2"/>
  <c r="J401" i="2"/>
  <c r="J407" i="2" s="1"/>
  <c r="I401" i="2"/>
  <c r="I407" i="2" s="1"/>
  <c r="H401" i="2"/>
  <c r="H407" i="2" s="1"/>
  <c r="G401" i="2"/>
  <c r="M400" i="2"/>
  <c r="L400" i="2"/>
  <c r="L399" i="2"/>
  <c r="M399" i="2" s="1"/>
  <c r="L398" i="2"/>
  <c r="L401" i="2" s="1"/>
  <c r="L392" i="2" s="1"/>
  <c r="J393" i="2"/>
  <c r="I393" i="2"/>
  <c r="H393" i="2"/>
  <c r="K392" i="2"/>
  <c r="K386" i="2" s="1"/>
  <c r="J392" i="2"/>
  <c r="I392" i="2"/>
  <c r="H392" i="2"/>
  <c r="H394" i="2" s="1"/>
  <c r="G392" i="2"/>
  <c r="G394" i="2" s="1"/>
  <c r="H388" i="2"/>
  <c r="I387" i="2"/>
  <c r="H387" i="2"/>
  <c r="G387" i="2"/>
  <c r="J386" i="2"/>
  <c r="H386" i="2"/>
  <c r="M375" i="2"/>
  <c r="L375" i="2"/>
  <c r="K375" i="2"/>
  <c r="J375" i="2"/>
  <c r="I375" i="2"/>
  <c r="H375" i="2"/>
  <c r="G375" i="2"/>
  <c r="M374" i="2"/>
  <c r="J368" i="2"/>
  <c r="I368" i="2"/>
  <c r="H368" i="2"/>
  <c r="G368" i="2"/>
  <c r="L367" i="2"/>
  <c r="M366" i="2"/>
  <c r="K366" i="2"/>
  <c r="K368" i="2" s="1"/>
  <c r="K361" i="2" s="1"/>
  <c r="K362" i="2" s="1"/>
  <c r="J362" i="2"/>
  <c r="H362" i="2"/>
  <c r="J361" i="2"/>
  <c r="I361" i="2"/>
  <c r="I362" i="2" s="1"/>
  <c r="H361" i="2"/>
  <c r="G361" i="2"/>
  <c r="G362" i="2" s="1"/>
  <c r="K357" i="2"/>
  <c r="J357" i="2"/>
  <c r="I357" i="2"/>
  <c r="H357" i="2"/>
  <c r="G357" i="2"/>
  <c r="M356" i="2"/>
  <c r="M357" i="2" s="1"/>
  <c r="L356" i="2"/>
  <c r="L357" i="2" s="1"/>
  <c r="K350" i="2"/>
  <c r="K345" i="2"/>
  <c r="J345" i="2"/>
  <c r="I345" i="2"/>
  <c r="H345" i="2"/>
  <c r="H327" i="2" s="1"/>
  <c r="H328" i="2" s="1"/>
  <c r="G345" i="2"/>
  <c r="M344" i="2"/>
  <c r="M343" i="2"/>
  <c r="L342" i="2"/>
  <c r="L345" i="2" s="1"/>
  <c r="M338" i="2"/>
  <c r="L338" i="2"/>
  <c r="M337" i="2"/>
  <c r="L337" i="2"/>
  <c r="L336" i="2"/>
  <c r="M336" i="2" s="1"/>
  <c r="J334" i="2"/>
  <c r="I334" i="2"/>
  <c r="I327" i="2" s="1"/>
  <c r="I328" i="2" s="1"/>
  <c r="H334" i="2"/>
  <c r="G334" i="2"/>
  <c r="K333" i="2"/>
  <c r="L333" i="2" s="1"/>
  <c r="M333" i="2" s="1"/>
  <c r="M332" i="2"/>
  <c r="L332" i="2"/>
  <c r="J327" i="2"/>
  <c r="J328" i="2" s="1"/>
  <c r="G327" i="2"/>
  <c r="G328" i="2" s="1"/>
  <c r="L318" i="2"/>
  <c r="K318" i="2"/>
  <c r="J318" i="2"/>
  <c r="I318" i="2"/>
  <c r="H318" i="2"/>
  <c r="G318" i="2"/>
  <c r="M317" i="2"/>
  <c r="M318" i="2" s="1"/>
  <c r="K313" i="2"/>
  <c r="K304" i="2" s="1"/>
  <c r="K305" i="2" s="1"/>
  <c r="J313" i="2"/>
  <c r="H313" i="2"/>
  <c r="G313" i="2"/>
  <c r="L312" i="2"/>
  <c r="M312" i="2" s="1"/>
  <c r="L311" i="2"/>
  <c r="M311" i="2" s="1"/>
  <c r="K311" i="2"/>
  <c r="I311" i="2"/>
  <c r="I313" i="2" s="1"/>
  <c r="I304" i="2" s="1"/>
  <c r="I305" i="2" s="1"/>
  <c r="L310" i="2"/>
  <c r="M310" i="2" s="1"/>
  <c r="L309" i="2"/>
  <c r="M309" i="2" s="1"/>
  <c r="J304" i="2"/>
  <c r="J305" i="2" s="1"/>
  <c r="J299" i="2" s="1"/>
  <c r="J300" i="2" s="1"/>
  <c r="H304" i="2"/>
  <c r="H305" i="2" s="1"/>
  <c r="G304" i="2"/>
  <c r="G305" i="2" s="1"/>
  <c r="I299" i="2"/>
  <c r="I300" i="2" s="1"/>
  <c r="H295" i="2"/>
  <c r="M294" i="2"/>
  <c r="J294" i="2"/>
  <c r="I294" i="2"/>
  <c r="H294" i="2"/>
  <c r="G294" i="2"/>
  <c r="G266" i="2" s="1"/>
  <c r="G267" i="2" s="1"/>
  <c r="K291" i="2"/>
  <c r="L290" i="2"/>
  <c r="L294" i="2" s="1"/>
  <c r="K290" i="2"/>
  <c r="K294" i="2" s="1"/>
  <c r="J289" i="2"/>
  <c r="J295" i="2" s="1"/>
  <c r="I289" i="2"/>
  <c r="H289" i="2"/>
  <c r="G289" i="2"/>
  <c r="L288" i="2"/>
  <c r="M288" i="2" s="1"/>
  <c r="M289" i="2" s="1"/>
  <c r="L287" i="2"/>
  <c r="K287" i="2"/>
  <c r="L286" i="2"/>
  <c r="L289" i="2" s="1"/>
  <c r="K286" i="2"/>
  <c r="K289" i="2" s="1"/>
  <c r="K282" i="2"/>
  <c r="J282" i="2"/>
  <c r="I282" i="2"/>
  <c r="H282" i="2"/>
  <c r="G282" i="2"/>
  <c r="M281" i="2"/>
  <c r="M282" i="2" s="1"/>
  <c r="L281" i="2"/>
  <c r="L282" i="2" s="1"/>
  <c r="M277" i="2"/>
  <c r="L277" i="2"/>
  <c r="L276" i="2"/>
  <c r="M276" i="2" s="1"/>
  <c r="L275" i="2"/>
  <c r="M275" i="2" s="1"/>
  <c r="J275" i="2"/>
  <c r="J273" i="2"/>
  <c r="I273" i="2"/>
  <c r="H273" i="2"/>
  <c r="G273" i="2"/>
  <c r="M272" i="2"/>
  <c r="L272" i="2"/>
  <c r="K271" i="2"/>
  <c r="K273" i="2" s="1"/>
  <c r="J267" i="2"/>
  <c r="J266" i="2"/>
  <c r="I266" i="2"/>
  <c r="I267" i="2" s="1"/>
  <c r="H266" i="2"/>
  <c r="H267" i="2" s="1"/>
  <c r="J265" i="2"/>
  <c r="H265" i="2"/>
  <c r="H224" i="2" s="1"/>
  <c r="G265" i="2"/>
  <c r="K261" i="2"/>
  <c r="J261" i="2"/>
  <c r="I261" i="2"/>
  <c r="H261" i="2"/>
  <c r="G261" i="2"/>
  <c r="G231" i="2" s="1"/>
  <c r="M260" i="2"/>
  <c r="M261" i="2" s="1"/>
  <c r="L260" i="2"/>
  <c r="L261" i="2" s="1"/>
  <c r="L256" i="2"/>
  <c r="M256" i="2" s="1"/>
  <c r="K255" i="2"/>
  <c r="L255" i="2" s="1"/>
  <c r="M255" i="2" s="1"/>
  <c r="J253" i="2"/>
  <c r="I253" i="2"/>
  <c r="H253" i="2"/>
  <c r="G253" i="2"/>
  <c r="L252" i="2"/>
  <c r="M252" i="2" s="1"/>
  <c r="K252" i="2"/>
  <c r="K253" i="2" s="1"/>
  <c r="L251" i="2"/>
  <c r="I247" i="2"/>
  <c r="K246" i="2"/>
  <c r="J246" i="2"/>
  <c r="I246" i="2"/>
  <c r="H246" i="2"/>
  <c r="H231" i="2" s="1"/>
  <c r="H225" i="2" s="1"/>
  <c r="G246" i="2"/>
  <c r="L245" i="2"/>
  <c r="M245" i="2" s="1"/>
  <c r="M246" i="2" s="1"/>
  <c r="K244" i="2"/>
  <c r="K247" i="2" s="1"/>
  <c r="J244" i="2"/>
  <c r="J247" i="2" s="1"/>
  <c r="I244" i="2"/>
  <c r="I230" i="2" s="1"/>
  <c r="H244" i="2"/>
  <c r="G244" i="2"/>
  <c r="G247" i="2" s="1"/>
  <c r="L243" i="2"/>
  <c r="M243" i="2" s="1"/>
  <c r="L242" i="2"/>
  <c r="L244" i="2" s="1"/>
  <c r="J238" i="2"/>
  <c r="H238" i="2"/>
  <c r="G238" i="2"/>
  <c r="M237" i="2"/>
  <c r="K237" i="2"/>
  <c r="K236" i="2"/>
  <c r="K238" i="2" s="1"/>
  <c r="I236" i="2"/>
  <c r="I238" i="2" s="1"/>
  <c r="I231" i="2" s="1"/>
  <c r="J231" i="2"/>
  <c r="K230" i="2"/>
  <c r="J230" i="2"/>
  <c r="J232" i="2" s="1"/>
  <c r="H230" i="2"/>
  <c r="G230" i="2"/>
  <c r="J225" i="2"/>
  <c r="J224" i="2"/>
  <c r="J226" i="2" s="1"/>
  <c r="K220" i="2"/>
  <c r="J220" i="2"/>
  <c r="I220" i="2"/>
  <c r="H220" i="2"/>
  <c r="G220" i="2"/>
  <c r="L219" i="2"/>
  <c r="M219" i="2" s="1"/>
  <c r="M220" i="2" s="1"/>
  <c r="K219" i="2"/>
  <c r="J215" i="2"/>
  <c r="I215" i="2"/>
  <c r="H215" i="2"/>
  <c r="G215" i="2"/>
  <c r="L214" i="2"/>
  <c r="K214" i="2"/>
  <c r="K215" i="2" s="1"/>
  <c r="K210" i="2"/>
  <c r="L210" i="2" s="1"/>
  <c r="M210" i="2" s="1"/>
  <c r="L209" i="2"/>
  <c r="M209" i="2" s="1"/>
  <c r="L207" i="2"/>
  <c r="K207" i="2"/>
  <c r="J207" i="2"/>
  <c r="I207" i="2"/>
  <c r="H207" i="2"/>
  <c r="G207" i="2"/>
  <c r="M206" i="2"/>
  <c r="M207" i="2" s="1"/>
  <c r="L206" i="2"/>
  <c r="K202" i="2"/>
  <c r="J202" i="2"/>
  <c r="I202" i="2"/>
  <c r="H202" i="2"/>
  <c r="G202" i="2"/>
  <c r="L201" i="2"/>
  <c r="J196" i="2"/>
  <c r="J197" i="2" s="1"/>
  <c r="I196" i="2"/>
  <c r="I197" i="2" s="1"/>
  <c r="H196" i="2"/>
  <c r="H197" i="2" s="1"/>
  <c r="G196" i="2"/>
  <c r="G197" i="2" s="1"/>
  <c r="L192" i="2"/>
  <c r="K192" i="2"/>
  <c r="J192" i="2"/>
  <c r="I192" i="2"/>
  <c r="H192" i="2"/>
  <c r="G192" i="2"/>
  <c r="M191" i="2"/>
  <c r="M192" i="2" s="1"/>
  <c r="L191" i="2"/>
  <c r="M187" i="2"/>
  <c r="K187" i="2"/>
  <c r="L187" i="2" s="1"/>
  <c r="K186" i="2"/>
  <c r="L186" i="2" s="1"/>
  <c r="M186" i="2" s="1"/>
  <c r="M185" i="2"/>
  <c r="L185" i="2"/>
  <c r="M184" i="2"/>
  <c r="K183" i="2"/>
  <c r="L183" i="2" s="1"/>
  <c r="M183" i="2" s="1"/>
  <c r="L182" i="2"/>
  <c r="M182" i="2" s="1"/>
  <c r="K180" i="2"/>
  <c r="K171" i="2" s="1"/>
  <c r="K172" i="2" s="1"/>
  <c r="J180" i="2"/>
  <c r="I180" i="2"/>
  <c r="H180" i="2"/>
  <c r="G180" i="2"/>
  <c r="M178" i="2"/>
  <c r="M180" i="2" s="1"/>
  <c r="L178" i="2"/>
  <c r="L180" i="2" s="1"/>
  <c r="L171" i="2" s="1"/>
  <c r="L172" i="2" s="1"/>
  <c r="K178" i="2"/>
  <c r="J172" i="2"/>
  <c r="J171" i="2"/>
  <c r="I171" i="2"/>
  <c r="I172" i="2" s="1"/>
  <c r="H171" i="2"/>
  <c r="H172" i="2" s="1"/>
  <c r="G171" i="2"/>
  <c r="G172" i="2" s="1"/>
  <c r="J166" i="2"/>
  <c r="J129" i="2" s="1"/>
  <c r="I166" i="2"/>
  <c r="H166" i="2"/>
  <c r="G166" i="2"/>
  <c r="L165" i="2"/>
  <c r="M165" i="2" s="1"/>
  <c r="K164" i="2"/>
  <c r="J161" i="2"/>
  <c r="J167" i="2" s="1"/>
  <c r="I161" i="2"/>
  <c r="I167" i="2" s="1"/>
  <c r="H161" i="2"/>
  <c r="H167" i="2" s="1"/>
  <c r="G161" i="2"/>
  <c r="G167" i="2" s="1"/>
  <c r="M160" i="2"/>
  <c r="L160" i="2"/>
  <c r="L159" i="2"/>
  <c r="L161" i="2" s="1"/>
  <c r="K159" i="2"/>
  <c r="K161" i="2" s="1"/>
  <c r="K128" i="2" s="1"/>
  <c r="J155" i="2"/>
  <c r="K154" i="2"/>
  <c r="J154" i="2"/>
  <c r="I154" i="2"/>
  <c r="I129" i="2" s="1"/>
  <c r="H154" i="2"/>
  <c r="G154" i="2"/>
  <c r="M153" i="2"/>
  <c r="L153" i="2"/>
  <c r="I153" i="2"/>
  <c r="M152" i="2"/>
  <c r="L152" i="2"/>
  <c r="M151" i="2"/>
  <c r="M154" i="2" s="1"/>
  <c r="L151" i="2"/>
  <c r="L154" i="2" s="1"/>
  <c r="K150" i="2"/>
  <c r="K155" i="2" s="1"/>
  <c r="J150" i="2"/>
  <c r="I150" i="2"/>
  <c r="I155" i="2" s="1"/>
  <c r="G150" i="2"/>
  <c r="G155" i="2" s="1"/>
  <c r="L149" i="2"/>
  <c r="M149" i="2" s="1"/>
  <c r="H149" i="2"/>
  <c r="H150" i="2" s="1"/>
  <c r="G149" i="2"/>
  <c r="L148" i="2"/>
  <c r="M148" i="2" s="1"/>
  <c r="L147" i="2"/>
  <c r="M142" i="2"/>
  <c r="J142" i="2"/>
  <c r="I142" i="2"/>
  <c r="H142" i="2"/>
  <c r="G142" i="2"/>
  <c r="M140" i="2"/>
  <c r="L140" i="2"/>
  <c r="L142" i="2" s="1"/>
  <c r="K140" i="2"/>
  <c r="K142" i="2" s="1"/>
  <c r="K137" i="2"/>
  <c r="K143" i="2" s="1"/>
  <c r="J137" i="2"/>
  <c r="J143" i="2" s="1"/>
  <c r="I137" i="2"/>
  <c r="I143" i="2" s="1"/>
  <c r="H137" i="2"/>
  <c r="H143" i="2" s="1"/>
  <c r="G137" i="2"/>
  <c r="M136" i="2"/>
  <c r="L135" i="2"/>
  <c r="M135" i="2" s="1"/>
  <c r="L134" i="2"/>
  <c r="L137" i="2" s="1"/>
  <c r="H129" i="2"/>
  <c r="G129" i="2"/>
  <c r="J128" i="2"/>
  <c r="I128" i="2"/>
  <c r="I130" i="2" s="1"/>
  <c r="K124" i="2"/>
  <c r="J124" i="2"/>
  <c r="I124" i="2"/>
  <c r="H124" i="2"/>
  <c r="G124" i="2"/>
  <c r="L122" i="2"/>
  <c r="M122" i="2" s="1"/>
  <c r="M124" i="2" s="1"/>
  <c r="L117" i="2"/>
  <c r="M117" i="2" s="1"/>
  <c r="G117" i="2"/>
  <c r="L116" i="2"/>
  <c r="M116" i="2" s="1"/>
  <c r="K115" i="2"/>
  <c r="L115" i="2" s="1"/>
  <c r="M115" i="2" s="1"/>
  <c r="J115" i="2"/>
  <c r="J113" i="2"/>
  <c r="I113" i="2"/>
  <c r="H113" i="2"/>
  <c r="G113" i="2"/>
  <c r="L112" i="2"/>
  <c r="M112" i="2" s="1"/>
  <c r="K111" i="2"/>
  <c r="M110" i="2"/>
  <c r="L110" i="2"/>
  <c r="M109" i="2"/>
  <c r="L109" i="2"/>
  <c r="L108" i="2"/>
  <c r="M108" i="2" s="1"/>
  <c r="K103" i="2"/>
  <c r="J103" i="2"/>
  <c r="I103" i="2"/>
  <c r="H103" i="2"/>
  <c r="L102" i="2"/>
  <c r="M102" i="2" s="1"/>
  <c r="G102" i="2"/>
  <c r="G103" i="2" s="1"/>
  <c r="M101" i="2"/>
  <c r="L101" i="2"/>
  <c r="L103" i="2" s="1"/>
  <c r="L104" i="2" s="1"/>
  <c r="L99" i="2"/>
  <c r="K99" i="2"/>
  <c r="K104" i="2" s="1"/>
  <c r="J99" i="2"/>
  <c r="J104" i="2" s="1"/>
  <c r="I99" i="2"/>
  <c r="I104" i="2" s="1"/>
  <c r="H99" i="2"/>
  <c r="H104" i="2" s="1"/>
  <c r="G99" i="2"/>
  <c r="G104" i="2" s="1"/>
  <c r="L98" i="2"/>
  <c r="M98" i="2" s="1"/>
  <c r="M99" i="2" s="1"/>
  <c r="G98" i="2"/>
  <c r="I94" i="2"/>
  <c r="K93" i="2"/>
  <c r="J93" i="2"/>
  <c r="I93" i="2"/>
  <c r="H93" i="2"/>
  <c r="G93" i="2"/>
  <c r="L92" i="2"/>
  <c r="M92" i="2" s="1"/>
  <c r="L91" i="2"/>
  <c r="M91" i="2" s="1"/>
  <c r="L90" i="2"/>
  <c r="M90" i="2" s="1"/>
  <c r="M89" i="2"/>
  <c r="M93" i="2" s="1"/>
  <c r="L89" i="2"/>
  <c r="L93" i="2" s="1"/>
  <c r="K88" i="2"/>
  <c r="K94" i="2" s="1"/>
  <c r="J88" i="2"/>
  <c r="J94" i="2" s="1"/>
  <c r="I88" i="2"/>
  <c r="H88" i="2"/>
  <c r="G88" i="2"/>
  <c r="M87" i="2"/>
  <c r="L87" i="2"/>
  <c r="M86" i="2"/>
  <c r="L86" i="2"/>
  <c r="L85" i="2"/>
  <c r="L88" i="2" s="1"/>
  <c r="L94" i="2" s="1"/>
  <c r="M81" i="2"/>
  <c r="K81" i="2"/>
  <c r="J81" i="2"/>
  <c r="H81" i="2"/>
  <c r="G81" i="2"/>
  <c r="L80" i="2"/>
  <c r="M80" i="2" s="1"/>
  <c r="K80" i="2"/>
  <c r="M79" i="2"/>
  <c r="L79" i="2"/>
  <c r="I79" i="2"/>
  <c r="I81" i="2" s="1"/>
  <c r="L75" i="2"/>
  <c r="M75" i="2" s="1"/>
  <c r="L74" i="2"/>
  <c r="M74" i="2" s="1"/>
  <c r="I74" i="2"/>
  <c r="M73" i="2"/>
  <c r="K73" i="2"/>
  <c r="L73" i="2" s="1"/>
  <c r="I73" i="2"/>
  <c r="J71" i="2"/>
  <c r="J26" i="2" s="1"/>
  <c r="J20" i="2" s="1"/>
  <c r="I71" i="2"/>
  <c r="H71" i="2"/>
  <c r="G71" i="2"/>
  <c r="L70" i="2"/>
  <c r="M70" i="2" s="1"/>
  <c r="K69" i="2"/>
  <c r="K71" i="2" s="1"/>
  <c r="M62" i="2"/>
  <c r="L62" i="2"/>
  <c r="M61" i="2"/>
  <c r="L61" i="2"/>
  <c r="L60" i="2"/>
  <c r="M60" i="2" s="1"/>
  <c r="M58" i="2"/>
  <c r="K58" i="2"/>
  <c r="K26" i="2" s="1"/>
  <c r="J58" i="2"/>
  <c r="I58" i="2"/>
  <c r="H58" i="2"/>
  <c r="G58" i="2"/>
  <c r="L57" i="2"/>
  <c r="M57" i="2" s="1"/>
  <c r="M56" i="2"/>
  <c r="L56" i="2"/>
  <c r="L58" i="2" s="1"/>
  <c r="K56" i="2"/>
  <c r="J52" i="2"/>
  <c r="I52" i="2"/>
  <c r="H52" i="2"/>
  <c r="G52" i="2"/>
  <c r="L51" i="2"/>
  <c r="M51" i="2" s="1"/>
  <c r="K50" i="2"/>
  <c r="L50" i="2" s="1"/>
  <c r="M50" i="2" s="1"/>
  <c r="L49" i="2"/>
  <c r="L52" i="2" s="1"/>
  <c r="K49" i="2"/>
  <c r="K52" i="2" s="1"/>
  <c r="M45" i="2"/>
  <c r="L45" i="2"/>
  <c r="K45" i="2"/>
  <c r="J45" i="2"/>
  <c r="I45" i="2"/>
  <c r="I26" i="2" s="1"/>
  <c r="H45" i="2"/>
  <c r="G45" i="2"/>
  <c r="K35" i="2"/>
  <c r="J35" i="2"/>
  <c r="I35" i="2"/>
  <c r="H35" i="2"/>
  <c r="G35" i="2"/>
  <c r="L34" i="2"/>
  <c r="M34" i="2" s="1"/>
  <c r="L33" i="2"/>
  <c r="M33" i="2" s="1"/>
  <c r="L32" i="2"/>
  <c r="M32" i="2" s="1"/>
  <c r="L31" i="2"/>
  <c r="L25" i="2"/>
  <c r="K25" i="2"/>
  <c r="J25" i="2"/>
  <c r="J27" i="2" s="1"/>
  <c r="I25" i="2"/>
  <c r="I20" i="2"/>
  <c r="J19" i="2"/>
  <c r="J21" i="2" s="1"/>
  <c r="I19" i="2"/>
  <c r="I21" i="2" s="1"/>
  <c r="M14" i="2"/>
  <c r="H14" i="2"/>
  <c r="H11" i="2"/>
  <c r="L10" i="2"/>
  <c r="L11" i="2" s="1"/>
  <c r="K10" i="2"/>
  <c r="K11" i="2" s="1"/>
  <c r="J10" i="2"/>
  <c r="J11" i="2" s="1"/>
  <c r="I10" i="2"/>
  <c r="I11" i="2" s="1"/>
  <c r="H10" i="2"/>
  <c r="G10" i="2"/>
  <c r="G11" i="2" s="1"/>
  <c r="M8" i="2"/>
  <c r="L8" i="2"/>
  <c r="L14" i="2" s="1"/>
  <c r="J8" i="2"/>
  <c r="J14" i="2" s="1"/>
  <c r="I8" i="2"/>
  <c r="I14" i="2" s="1"/>
  <c r="H8" i="2"/>
  <c r="G8" i="2"/>
  <c r="G14" i="2" s="1"/>
  <c r="M7" i="2"/>
  <c r="I7" i="2"/>
  <c r="M6" i="2"/>
  <c r="M9" i="2" s="1"/>
  <c r="K6" i="2"/>
  <c r="J6" i="2"/>
  <c r="H6" i="2"/>
  <c r="G6" i="2"/>
  <c r="H111" i="1"/>
  <c r="H105" i="1" s="1"/>
  <c r="G111" i="1"/>
  <c r="G110" i="1"/>
  <c r="G105" i="1" s="1"/>
  <c r="J107" i="1"/>
  <c r="I107" i="1"/>
  <c r="E107" i="1"/>
  <c r="F105" i="1"/>
  <c r="F107" i="1" s="1"/>
  <c r="E105" i="1"/>
  <c r="D105" i="1"/>
  <c r="D10" i="1" s="1"/>
  <c r="E104" i="1"/>
  <c r="D104" i="1"/>
  <c r="D107" i="1" s="1"/>
  <c r="G100" i="1"/>
  <c r="G68" i="1" s="1"/>
  <c r="F100" i="1"/>
  <c r="E100" i="1"/>
  <c r="E68" i="1" s="1"/>
  <c r="D100" i="1"/>
  <c r="J99" i="1"/>
  <c r="J6" i="1" s="1"/>
  <c r="J8" i="1" s="1"/>
  <c r="I99" i="1"/>
  <c r="J93" i="1"/>
  <c r="G93" i="1"/>
  <c r="H92" i="1"/>
  <c r="I92" i="1" s="1"/>
  <c r="J92" i="1" s="1"/>
  <c r="I91" i="1"/>
  <c r="J91" i="1" s="1"/>
  <c r="H91" i="1"/>
  <c r="J90" i="1"/>
  <c r="I90" i="1"/>
  <c r="I89" i="1"/>
  <c r="I88" i="1"/>
  <c r="J88" i="1" s="1"/>
  <c r="H88" i="1"/>
  <c r="J87" i="1"/>
  <c r="I87" i="1"/>
  <c r="J86" i="1"/>
  <c r="I86" i="1"/>
  <c r="J85" i="1"/>
  <c r="I85" i="1"/>
  <c r="J84" i="1"/>
  <c r="I84" i="1"/>
  <c r="J83" i="1"/>
  <c r="I83" i="1"/>
  <c r="H82" i="1"/>
  <c r="I82" i="1" s="1"/>
  <c r="J82" i="1" s="1"/>
  <c r="I81" i="1"/>
  <c r="J81" i="1" s="1"/>
  <c r="I80" i="1"/>
  <c r="J80" i="1" s="1"/>
  <c r="H80" i="1"/>
  <c r="J79" i="1"/>
  <c r="I79" i="1"/>
  <c r="J78" i="1"/>
  <c r="I78" i="1"/>
  <c r="J77" i="1"/>
  <c r="I77" i="1"/>
  <c r="J76" i="1"/>
  <c r="I76" i="1"/>
  <c r="J75" i="1"/>
  <c r="I75" i="1"/>
  <c r="H74" i="1"/>
  <c r="H100" i="1" s="1"/>
  <c r="H68" i="1" s="1"/>
  <c r="E74" i="1"/>
  <c r="J73" i="1"/>
  <c r="F68" i="1"/>
  <c r="F3" i="1" s="1"/>
  <c r="D68" i="1"/>
  <c r="D69" i="1" s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49" i="1"/>
  <c r="H49" i="1"/>
  <c r="G49" i="1"/>
  <c r="G38" i="1" s="1"/>
  <c r="G39" i="1" s="1"/>
  <c r="F49" i="1"/>
  <c r="E49" i="1"/>
  <c r="E38" i="1" s="1"/>
  <c r="D49" i="1"/>
  <c r="J48" i="1"/>
  <c r="I48" i="1"/>
  <c r="J47" i="1"/>
  <c r="I47" i="1"/>
  <c r="J46" i="1"/>
  <c r="I46" i="1"/>
  <c r="J45" i="1"/>
  <c r="J7" i="1" s="1"/>
  <c r="I45" i="1"/>
  <c r="J44" i="1"/>
  <c r="I44" i="1"/>
  <c r="J43" i="1"/>
  <c r="J49" i="1" s="1"/>
  <c r="J38" i="1" s="1"/>
  <c r="J39" i="1" s="1"/>
  <c r="I43" i="1"/>
  <c r="H39" i="1"/>
  <c r="D39" i="1"/>
  <c r="I38" i="1"/>
  <c r="I39" i="1" s="1"/>
  <c r="H38" i="1"/>
  <c r="F38" i="1"/>
  <c r="F39" i="1" s="1"/>
  <c r="D38" i="1"/>
  <c r="H34" i="1"/>
  <c r="H20" i="1" s="1"/>
  <c r="G34" i="1"/>
  <c r="F34" i="1"/>
  <c r="F20" i="1" s="1"/>
  <c r="E34" i="1"/>
  <c r="D34" i="1"/>
  <c r="I33" i="1"/>
  <c r="J33" i="1" s="1"/>
  <c r="H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J34" i="1" s="1"/>
  <c r="J20" i="1" s="1"/>
  <c r="I25" i="1"/>
  <c r="I34" i="1" s="1"/>
  <c r="I20" i="1" s="1"/>
  <c r="D21" i="1"/>
  <c r="G20" i="1"/>
  <c r="G21" i="1" s="1"/>
  <c r="E20" i="1"/>
  <c r="E21" i="1" s="1"/>
  <c r="D20" i="1"/>
  <c r="G15" i="1"/>
  <c r="E15" i="1"/>
  <c r="J11" i="1"/>
  <c r="J15" i="1" s="1"/>
  <c r="I11" i="1"/>
  <c r="I15" i="1" s="1"/>
  <c r="H11" i="1"/>
  <c r="H15" i="1" s="1"/>
  <c r="G11" i="1"/>
  <c r="F11" i="1"/>
  <c r="F15" i="1" s="1"/>
  <c r="E11" i="1"/>
  <c r="D11" i="1"/>
  <c r="D15" i="1" s="1"/>
  <c r="J10" i="1"/>
  <c r="J12" i="1" s="1"/>
  <c r="I10" i="1"/>
  <c r="E10" i="1"/>
  <c r="J9" i="1"/>
  <c r="I9" i="1"/>
  <c r="I12" i="1" s="1"/>
  <c r="H9" i="1"/>
  <c r="G9" i="1"/>
  <c r="F9" i="1"/>
  <c r="E9" i="1"/>
  <c r="E12" i="1" s="1"/>
  <c r="H8" i="1"/>
  <c r="I7" i="1"/>
  <c r="H7" i="1"/>
  <c r="G7" i="1"/>
  <c r="F7" i="1"/>
  <c r="E7" i="1"/>
  <c r="D7" i="1"/>
  <c r="I6" i="1"/>
  <c r="I8" i="1" s="1"/>
  <c r="H6" i="1"/>
  <c r="G6" i="1"/>
  <c r="G8" i="1" s="1"/>
  <c r="F6" i="1"/>
  <c r="F8" i="1" s="1"/>
  <c r="E6" i="1"/>
  <c r="E8" i="1" s="1"/>
  <c r="D6" i="1"/>
  <c r="D8" i="1" s="1"/>
  <c r="D4" i="1"/>
  <c r="D14" i="1" s="1"/>
  <c r="F21" i="1" l="1"/>
  <c r="F4" i="1"/>
  <c r="H10" i="1"/>
  <c r="H107" i="1"/>
  <c r="K299" i="2"/>
  <c r="K300" i="2" s="1"/>
  <c r="H21" i="1"/>
  <c r="H4" i="1"/>
  <c r="F13" i="1"/>
  <c r="F5" i="1"/>
  <c r="E69" i="1"/>
  <c r="E3" i="1"/>
  <c r="I21" i="1"/>
  <c r="I4" i="1"/>
  <c r="I14" i="1" s="1"/>
  <c r="H12" i="1"/>
  <c r="J4" i="1"/>
  <c r="J14" i="1" s="1"/>
  <c r="J21" i="1"/>
  <c r="H3" i="1"/>
  <c r="H69" i="1"/>
  <c r="G69" i="1"/>
  <c r="G3" i="1"/>
  <c r="E39" i="1"/>
  <c r="E4" i="1"/>
  <c r="E14" i="1" s="1"/>
  <c r="G10" i="1"/>
  <c r="G12" i="1" s="1"/>
  <c r="G107" i="1"/>
  <c r="K295" i="2"/>
  <c r="K265" i="2"/>
  <c r="K224" i="2" s="1"/>
  <c r="K226" i="2" s="1"/>
  <c r="I394" i="2"/>
  <c r="I386" i="2"/>
  <c r="I388" i="2" s="1"/>
  <c r="D3" i="1"/>
  <c r="F69" i="1"/>
  <c r="I74" i="1"/>
  <c r="J3" i="2"/>
  <c r="I27" i="2"/>
  <c r="M49" i="2"/>
  <c r="M52" i="2" s="1"/>
  <c r="L69" i="2"/>
  <c r="K166" i="2"/>
  <c r="L164" i="2"/>
  <c r="M171" i="2"/>
  <c r="M172" i="2" s="1"/>
  <c r="G225" i="2"/>
  <c r="L295" i="2"/>
  <c r="L265" i="2"/>
  <c r="M313" i="2"/>
  <c r="M304" i="2" s="1"/>
  <c r="M305" i="2" s="1"/>
  <c r="H525" i="2"/>
  <c r="H447" i="2"/>
  <c r="H7" i="2" s="1"/>
  <c r="H9" i="2" s="1"/>
  <c r="M404" i="2"/>
  <c r="M406" i="2" s="1"/>
  <c r="M393" i="2" s="1"/>
  <c r="M387" i="2" s="1"/>
  <c r="L406" i="2"/>
  <c r="K232" i="2"/>
  <c r="H247" i="2"/>
  <c r="L368" i="2"/>
  <c r="L361" i="2" s="1"/>
  <c r="L362" i="2" s="1"/>
  <c r="M367" i="2"/>
  <c r="M368" i="2" s="1"/>
  <c r="M361" i="2" s="1"/>
  <c r="M362" i="2" s="1"/>
  <c r="G430" i="2"/>
  <c r="G386" i="2"/>
  <c r="G388" i="2" s="1"/>
  <c r="G497" i="2"/>
  <c r="G447" i="2"/>
  <c r="G7" i="2" s="1"/>
  <c r="G9" i="2" s="1"/>
  <c r="M562" i="2"/>
  <c r="M555" i="2" s="1"/>
  <c r="M556" i="2" s="1"/>
  <c r="M10" i="2"/>
  <c r="M11" i="2" s="1"/>
  <c r="D9" i="1"/>
  <c r="D12" i="1" s="1"/>
  <c r="K27" i="2"/>
  <c r="K19" i="2"/>
  <c r="H26" i="2"/>
  <c r="H20" i="2" s="1"/>
  <c r="L143" i="2"/>
  <c r="L128" i="2"/>
  <c r="K129" i="2"/>
  <c r="K130" i="2" s="1"/>
  <c r="L150" i="2"/>
  <c r="L155" i="2" s="1"/>
  <c r="M147" i="2"/>
  <c r="M150" i="2" s="1"/>
  <c r="M155" i="2" s="1"/>
  <c r="G26" i="2"/>
  <c r="G20" i="2" s="1"/>
  <c r="G4" i="2" s="1"/>
  <c r="F10" i="1"/>
  <c r="F12" i="1" s="1"/>
  <c r="L35" i="2"/>
  <c r="K113" i="2"/>
  <c r="K20" i="2" s="1"/>
  <c r="L111" i="2"/>
  <c r="M111" i="2" s="1"/>
  <c r="L202" i="2"/>
  <c r="M201" i="2"/>
  <c r="M202" i="2" s="1"/>
  <c r="M196" i="2" s="1"/>
  <c r="M197" i="2" s="1"/>
  <c r="M295" i="2"/>
  <c r="M265" i="2"/>
  <c r="G299" i="2"/>
  <c r="G300" i="2" s="1"/>
  <c r="H449" i="2"/>
  <c r="H232" i="2"/>
  <c r="G4" i="1"/>
  <c r="G14" i="1" s="1"/>
  <c r="M31" i="2"/>
  <c r="M35" i="2" s="1"/>
  <c r="K196" i="2"/>
  <c r="K197" i="2" s="1"/>
  <c r="I232" i="2"/>
  <c r="L253" i="2"/>
  <c r="K266" i="2"/>
  <c r="K267" i="2" s="1"/>
  <c r="G295" i="2"/>
  <c r="H299" i="2"/>
  <c r="H300" i="2" s="1"/>
  <c r="J394" i="2"/>
  <c r="J387" i="2"/>
  <c r="J388" i="2" s="1"/>
  <c r="I449" i="2"/>
  <c r="I6" i="2"/>
  <c r="I9" i="2" s="1"/>
  <c r="G94" i="2"/>
  <c r="G25" i="2"/>
  <c r="J130" i="2"/>
  <c r="G128" i="2"/>
  <c r="G130" i="2" s="1"/>
  <c r="G143" i="2"/>
  <c r="H128" i="2"/>
  <c r="H130" i="2" s="1"/>
  <c r="H155" i="2"/>
  <c r="L215" i="2"/>
  <c r="M214" i="2"/>
  <c r="M215" i="2" s="1"/>
  <c r="I225" i="2"/>
  <c r="I4" i="2" s="1"/>
  <c r="I13" i="2" s="1"/>
  <c r="L334" i="2"/>
  <c r="L327" i="2" s="1"/>
  <c r="L328" i="2" s="1"/>
  <c r="K406" i="2"/>
  <c r="K393" i="2" s="1"/>
  <c r="J449" i="2"/>
  <c r="K447" i="2"/>
  <c r="K7" i="2" s="1"/>
  <c r="K9" i="2" s="1"/>
  <c r="L507" i="2"/>
  <c r="L446" i="2"/>
  <c r="L81" i="2"/>
  <c r="H94" i="2"/>
  <c r="H25" i="2"/>
  <c r="M104" i="2"/>
  <c r="M103" i="2"/>
  <c r="M113" i="2"/>
  <c r="K167" i="2"/>
  <c r="G232" i="2"/>
  <c r="G224" i="2"/>
  <c r="G226" i="2" s="1"/>
  <c r="K231" i="2"/>
  <c r="K225" i="2" s="1"/>
  <c r="L230" i="2"/>
  <c r="H226" i="2"/>
  <c r="I295" i="2"/>
  <c r="I265" i="2"/>
  <c r="I224" i="2" s="1"/>
  <c r="M334" i="2"/>
  <c r="M327" i="2" s="1"/>
  <c r="M328" i="2" s="1"/>
  <c r="L386" i="2"/>
  <c r="K407" i="2"/>
  <c r="L430" i="2"/>
  <c r="L548" i="2"/>
  <c r="L447" i="2"/>
  <c r="L7" i="2" s="1"/>
  <c r="L220" i="2"/>
  <c r="L313" i="2"/>
  <c r="L304" i="2" s="1"/>
  <c r="L305" i="2" s="1"/>
  <c r="L113" i="2"/>
  <c r="K334" i="2"/>
  <c r="K327" i="2" s="1"/>
  <c r="K328" i="2" s="1"/>
  <c r="M85" i="2"/>
  <c r="M88" i="2" s="1"/>
  <c r="M242" i="2"/>
  <c r="M244" i="2" s="1"/>
  <c r="M247" i="2" s="1"/>
  <c r="L124" i="2"/>
  <c r="L19" i="2" s="1"/>
  <c r="M134" i="2"/>
  <c r="M137" i="2" s="1"/>
  <c r="L246" i="2"/>
  <c r="L247" i="2" s="1"/>
  <c r="M342" i="2"/>
  <c r="M345" i="2" s="1"/>
  <c r="M398" i="2"/>
  <c r="M401" i="2" s="1"/>
  <c r="L271" i="2"/>
  <c r="M424" i="2"/>
  <c r="M426" i="2" s="1"/>
  <c r="M430" i="2" s="1"/>
  <c r="M159" i="2"/>
  <c r="M161" i="2" s="1"/>
  <c r="M251" i="2"/>
  <c r="M253" i="2" s="1"/>
  <c r="L236" i="2"/>
  <c r="I226" i="2" l="1"/>
  <c r="I3" i="2"/>
  <c r="M143" i="2"/>
  <c r="M128" i="2"/>
  <c r="M130" i="2" s="1"/>
  <c r="L196" i="2"/>
  <c r="L197" i="2" s="1"/>
  <c r="H4" i="2"/>
  <c r="H13" i="2" s="1"/>
  <c r="J12" i="2"/>
  <c r="H5" i="1"/>
  <c r="H13" i="1"/>
  <c r="H16" i="1" s="1"/>
  <c r="M167" i="2"/>
  <c r="K449" i="2"/>
  <c r="G449" i="2"/>
  <c r="K21" i="2"/>
  <c r="K3" i="2"/>
  <c r="L393" i="2"/>
  <c r="L407" i="2"/>
  <c r="I100" i="1"/>
  <c r="I68" i="1" s="1"/>
  <c r="J74" i="1"/>
  <c r="J100" i="1" s="1"/>
  <c r="J68" i="1" s="1"/>
  <c r="M94" i="2"/>
  <c r="M25" i="2"/>
  <c r="K387" i="2"/>
  <c r="K388" i="2" s="1"/>
  <c r="K394" i="2"/>
  <c r="J4" i="2"/>
  <c r="J13" i="2" s="1"/>
  <c r="L238" i="2"/>
  <c r="L231" i="2" s="1"/>
  <c r="M236" i="2"/>
  <c r="M238" i="2" s="1"/>
  <c r="M231" i="2" s="1"/>
  <c r="M225" i="2" s="1"/>
  <c r="L166" i="2"/>
  <c r="M164" i="2"/>
  <c r="M166" i="2" s="1"/>
  <c r="M129" i="2" s="1"/>
  <c r="D13" i="1"/>
  <c r="D16" i="1" s="1"/>
  <c r="D5" i="1"/>
  <c r="F14" i="1"/>
  <c r="L6" i="2"/>
  <c r="L9" i="2" s="1"/>
  <c r="L449" i="2"/>
  <c r="G13" i="2"/>
  <c r="L273" i="2"/>
  <c r="L266" i="2" s="1"/>
  <c r="L267" i="2" s="1"/>
  <c r="M271" i="2"/>
  <c r="M273" i="2" s="1"/>
  <c r="M266" i="2" s="1"/>
  <c r="M267" i="2" s="1"/>
  <c r="H27" i="2"/>
  <c r="H19" i="2"/>
  <c r="G19" i="2"/>
  <c r="G27" i="2"/>
  <c r="F16" i="1"/>
  <c r="M299" i="2"/>
  <c r="M300" i="2" s="1"/>
  <c r="E13" i="1"/>
  <c r="E16" i="1" s="1"/>
  <c r="E5" i="1"/>
  <c r="M230" i="2"/>
  <c r="L224" i="2"/>
  <c r="M392" i="2"/>
  <c r="M407" i="2"/>
  <c r="L299" i="2"/>
  <c r="L300" i="2" s="1"/>
  <c r="L71" i="2"/>
  <c r="L26" i="2" s="1"/>
  <c r="M69" i="2"/>
  <c r="M71" i="2" s="1"/>
  <c r="M26" i="2" s="1"/>
  <c r="M20" i="2" s="1"/>
  <c r="M4" i="2" s="1"/>
  <c r="M13" i="2" s="1"/>
  <c r="G5" i="1"/>
  <c r="G13" i="1"/>
  <c r="G16" i="1" s="1"/>
  <c r="H14" i="1"/>
  <c r="L20" i="2" l="1"/>
  <c r="L27" i="2"/>
  <c r="M386" i="2"/>
  <c r="M388" i="2" s="1"/>
  <c r="M394" i="2"/>
  <c r="L225" i="2"/>
  <c r="L226" i="2"/>
  <c r="L387" i="2"/>
  <c r="L388" i="2" s="1"/>
  <c r="L394" i="2"/>
  <c r="J5" i="2"/>
  <c r="I12" i="2"/>
  <c r="I15" i="2" s="1"/>
  <c r="I5" i="2"/>
  <c r="L129" i="2"/>
  <c r="L130" i="2" s="1"/>
  <c r="L167" i="2"/>
  <c r="F116" i="1"/>
  <c r="G116" i="1"/>
  <c r="L232" i="2"/>
  <c r="G21" i="2"/>
  <c r="G3" i="2"/>
  <c r="K12" i="2"/>
  <c r="J15" i="2"/>
  <c r="I3" i="1"/>
  <c r="I69" i="1"/>
  <c r="M232" i="2"/>
  <c r="M224" i="2"/>
  <c r="M226" i="2" s="1"/>
  <c r="H21" i="2"/>
  <c r="H3" i="2"/>
  <c r="J3" i="1"/>
  <c r="J69" i="1"/>
  <c r="M19" i="2"/>
  <c r="M27" i="2"/>
  <c r="L3" i="2"/>
  <c r="K4" i="2"/>
  <c r="K13" i="2" s="1"/>
  <c r="K15" i="2" l="1"/>
  <c r="H116" i="1" s="1"/>
  <c r="M21" i="2"/>
  <c r="M3" i="2"/>
  <c r="K5" i="2"/>
  <c r="I13" i="1"/>
  <c r="I16" i="1" s="1"/>
  <c r="I5" i="1"/>
  <c r="G12" i="2"/>
  <c r="G15" i="2" s="1"/>
  <c r="D116" i="1" s="1"/>
  <c r="G5" i="2"/>
  <c r="J13" i="1"/>
  <c r="J16" i="1" s="1"/>
  <c r="J5" i="1"/>
  <c r="H12" i="2"/>
  <c r="H15" i="2" s="1"/>
  <c r="E116" i="1" s="1"/>
  <c r="H5" i="2"/>
  <c r="L12" i="2"/>
  <c r="L4" i="2"/>
  <c r="L13" i="2" s="1"/>
  <c r="L21" i="2"/>
  <c r="M12" i="2" l="1"/>
  <c r="M15" i="2" s="1"/>
  <c r="M5" i="2"/>
  <c r="L15" i="2"/>
  <c r="I116" i="1" s="1"/>
  <c r="L5" i="2"/>
  <c r="J116" i="1"/>
</calcChain>
</file>

<file path=xl/comments1.xml><?xml version="1.0" encoding="utf-8"?>
<comments xmlns="http://schemas.openxmlformats.org/spreadsheetml/2006/main">
  <authors>
    <author/>
  </authors>
  <commentList>
    <comment ref="E74" authorId="0" shapeId="0">
      <text>
        <r>
          <rPr>
            <b/>
            <sz val="9"/>
            <color rgb="FF000000"/>
            <rFont val="Segoe UI"/>
            <charset val="238"/>
          </rPr>
          <t xml:space="preserve">Matej Tabaček:
</t>
        </r>
        <r>
          <rPr>
            <sz val="9"/>
            <color rgb="FF000000"/>
            <rFont val="Segoe UI"/>
            <charset val="238"/>
          </rPr>
          <t>+ učebnice, preplatok 2014</t>
        </r>
      </text>
    </comment>
    <comment ref="G110" authorId="0" shapeId="0">
      <text>
        <r>
          <rPr>
            <sz val="11"/>
            <color rgb="FF000000"/>
            <rFont val="Calibri"/>
            <charset val="238"/>
          </rPr>
          <t>K 1. decembru nebol schválený záverečný účet 2016 (prebytok 188 433)</t>
        </r>
      </text>
    </comment>
    <comment ref="G111" authorId="0" shapeId="0">
      <text>
        <r>
          <rPr>
            <sz val="11"/>
            <color rgb="FF000000"/>
            <rFont val="Calibri"/>
            <charset val="238"/>
          </rPr>
          <t>Rezervný fond nebol v roku 2016 čerpaný (zostatok 6 887)</t>
        </r>
      </text>
    </comment>
    <comment ref="H111" authorId="0" shapeId="0">
      <text>
        <r>
          <rPr>
            <sz val="11"/>
            <color rgb="FF000000"/>
            <rFont val="Calibri"/>
            <charset val="238"/>
          </rPr>
          <t>Použitie časti rezervného fondu z rokov 2014-2016 na kapitálové výdavky v roku 2017 (zostatok fondu 48 080)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98" authorId="0" shapeId="0">
      <text>
        <r>
          <rPr>
            <b/>
            <sz val="9"/>
            <color rgb="FF000000"/>
            <rFont val="Segoe UI"/>
            <charset val="238"/>
          </rPr>
          <t xml:space="preserve">Matej Tabaček:
</t>
        </r>
        <r>
          <rPr>
            <sz val="9"/>
            <color rgb="FF000000"/>
            <rFont val="Segoe UI"/>
            <charset val="238"/>
          </rPr>
          <t>Pre zjednodušenie porovnania sú položky 610, 620 a 630 zo starých rokov presunuté do položky 640</t>
        </r>
      </text>
    </comment>
    <comment ref="F102" authorId="0" shapeId="0">
      <text>
        <r>
          <rPr>
            <b/>
            <sz val="9"/>
            <color rgb="FF000000"/>
            <rFont val="Segoe UI"/>
            <charset val="238"/>
          </rPr>
          <t xml:space="preserve">Matej Tabaček:
</t>
        </r>
        <r>
          <rPr>
            <sz val="9"/>
            <color rgb="FF000000"/>
            <rFont val="Segoe UI"/>
            <charset val="238"/>
          </rPr>
          <t>Pre zjednodušenie porovnania sú položky 610, 620 a 630 zo starých rokov presunuté do položky 640</t>
        </r>
      </text>
    </comment>
    <comment ref="K136" authorId="0" shapeId="0">
      <text>
        <r>
          <rPr>
            <sz val="11"/>
            <color rgb="FF000000"/>
            <rFont val="Calibri"/>
            <charset val="238"/>
          </rPr>
          <t>315,59 z roku 2016</t>
        </r>
      </text>
    </comment>
    <comment ref="K473" authorId="0" shapeId="0">
      <text>
        <r>
          <rPr>
            <sz val="11"/>
            <color rgb="FF000000"/>
            <rFont val="Calibri"/>
            <charset val="238"/>
          </rPr>
          <t>Spolufinancovanie 5 %</t>
        </r>
      </text>
    </comment>
  </commentList>
</comments>
</file>

<file path=xl/sharedStrings.xml><?xml version="1.0" encoding="utf-8"?>
<sst xmlns="http://schemas.openxmlformats.org/spreadsheetml/2006/main" count="1371" uniqueCount="338">
  <si>
    <t>SUMÁR PRÍJMOV</t>
  </si>
  <si>
    <t>2014 S</t>
  </si>
  <si>
    <t>2015 S</t>
  </si>
  <si>
    <t>2016 R</t>
  </si>
  <si>
    <t>2016 S</t>
  </si>
  <si>
    <t>2017 S</t>
  </si>
  <si>
    <t>2018 S</t>
  </si>
  <si>
    <t>2019 S</t>
  </si>
  <si>
    <t>Zdroj krytia</t>
  </si>
  <si>
    <t>Dotácie</t>
  </si>
  <si>
    <t>Vlastné zdroje</t>
  </si>
  <si>
    <t>Bežné príjmy</t>
  </si>
  <si>
    <t>Kapitálové príjmy</t>
  </si>
  <si>
    <t>Úvery</t>
  </si>
  <si>
    <t>Finančné operácie</t>
  </si>
  <si>
    <t>Celkové príjmy</t>
  </si>
  <si>
    <t>DAŇOVÉ PRÍJMY</t>
  </si>
  <si>
    <t>Zdroj</t>
  </si>
  <si>
    <t>Celkové výdavky</t>
  </si>
  <si>
    <t>Daňové príjmy - rozpis</t>
  </si>
  <si>
    <t>FK</t>
  </si>
  <si>
    <t>EK</t>
  </si>
  <si>
    <t>Názov</t>
  </si>
  <si>
    <t>PrD</t>
  </si>
  <si>
    <t>Výnos dane z príjmov</t>
  </si>
  <si>
    <t>Daň z pozemkov</t>
  </si>
  <si>
    <t>Daň zo stavieb</t>
  </si>
  <si>
    <t>Daň z bytov</t>
  </si>
  <si>
    <t>Daň za psa</t>
  </si>
  <si>
    <t>Daň za nevýherné hracie prístroje</t>
  </si>
  <si>
    <t>Daň za ubytovanie</t>
  </si>
  <si>
    <t>Daň za užívanie verejného priestranstva</t>
  </si>
  <si>
    <t>Daň za komunálne odpady a drobné stavebné odpady</t>
  </si>
  <si>
    <t>NEDAŇOVÉ PRÍJMY</t>
  </si>
  <si>
    <t>Nedaňové príjmy - rozpis</t>
  </si>
  <si>
    <t>PrN</t>
  </si>
  <si>
    <t>Príjmy z majetku</t>
  </si>
  <si>
    <t>Administratívne poplatky a iné platby</t>
  </si>
  <si>
    <t>Predaj majetku</t>
  </si>
  <si>
    <t>Úroky z vkladov</t>
  </si>
  <si>
    <t>Iné nedaňové príjmy</t>
  </si>
  <si>
    <t>RO</t>
  </si>
  <si>
    <t>Príjmy ZŠ</t>
  </si>
  <si>
    <t>V tom:</t>
  </si>
  <si>
    <t>Prenájom budov</t>
  </si>
  <si>
    <t>Správne poplatky</t>
  </si>
  <si>
    <t>Licencie automaty</t>
  </si>
  <si>
    <t>Vodné</t>
  </si>
  <si>
    <t>Opatrovateľská služba</t>
  </si>
  <si>
    <t>Vodovodný materiál</t>
  </si>
  <si>
    <t>Vstupné na akcie</t>
  </si>
  <si>
    <t>Poplatky DOS</t>
  </si>
  <si>
    <t>Predaj dreva</t>
  </si>
  <si>
    <t>Príspevok rodičov MŠ</t>
  </si>
  <si>
    <t>Príspevok CVČ</t>
  </si>
  <si>
    <t>Vodovodné prípojky</t>
  </si>
  <si>
    <t>Dobropisy</t>
  </si>
  <si>
    <t>Stravné zamestnanci</t>
  </si>
  <si>
    <t>GRANTY A TRANSFERY</t>
  </si>
  <si>
    <t>Granty a transfery - rozpis</t>
  </si>
  <si>
    <t>Granty</t>
  </si>
  <si>
    <t>ZŠ normatívne</t>
  </si>
  <si>
    <t>ZŠ žiaci zo SZP</t>
  </si>
  <si>
    <t>ZŠ asistent učiteľa</t>
  </si>
  <si>
    <t>ZŠ vzdelávacie poukazy</t>
  </si>
  <si>
    <t>ZŠ stravné ŠJ</t>
  </si>
  <si>
    <t>ZŠ školské potreby</t>
  </si>
  <si>
    <t>Iné ZŠ</t>
  </si>
  <si>
    <t>MŠ predškoláci</t>
  </si>
  <si>
    <t>CVČ vzdelávacie</t>
  </si>
  <si>
    <t>Prídavky na deti</t>
  </si>
  <si>
    <t>Stavebný úrad</t>
  </si>
  <si>
    <t>Cestná doprava</t>
  </si>
  <si>
    <t>Životné prostredie</t>
  </si>
  <si>
    <t>Matrika</t>
  </si>
  <si>
    <t>Register obyvateľstva</t>
  </si>
  <si>
    <t>Voľby</t>
  </si>
  <si>
    <t>Sklad civilnej obrany</t>
  </si>
  <si>
    <t>DOS</t>
  </si>
  <si>
    <t>Aktivačné práce</t>
  </si>
  <si>
    <t>Regionálny rozvoj ESF</t>
  </si>
  <si>
    <t>Chránená dielňa ESF</t>
  </si>
  <si>
    <t>Zberný dvor</t>
  </si>
  <si>
    <t>Zateplenie škôlky</t>
  </si>
  <si>
    <t>Rozšírenie škôlky</t>
  </si>
  <si>
    <t>Zateplenie DOS</t>
  </si>
  <si>
    <t>Kamerový systém/WC ZŠ</t>
  </si>
  <si>
    <t>Zdroj kytia</t>
  </si>
  <si>
    <t>PRÍJMOVÉ FINANČNÉ OPERÁCIE</t>
  </si>
  <si>
    <t>Štátne dotácie</t>
  </si>
  <si>
    <t>Nevyčerpané dotácie</t>
  </si>
  <si>
    <t>Zostatky</t>
  </si>
  <si>
    <t>Rezervný fond</t>
  </si>
  <si>
    <t>Úver na rýpadlo</t>
  </si>
  <si>
    <t>ROZDIEL PRÍJMOV A VÝDAJOV</t>
  </si>
  <si>
    <t>Pr</t>
  </si>
  <si>
    <t>Po</t>
  </si>
  <si>
    <t>Pv</t>
  </si>
  <si>
    <t>SUMÁR VÝDAVKOV</t>
  </si>
  <si>
    <t>Bežné výdavky</t>
  </si>
  <si>
    <t>Kapitálové výdavky</t>
  </si>
  <si>
    <t>PROGRAM 1 - SAMOSPRÁVA</t>
  </si>
  <si>
    <t>Podprogram 1.1 Obecný úrad</t>
  </si>
  <si>
    <t>Prvok 1.1.1 Vedenie obce</t>
  </si>
  <si>
    <t>01.1.1</t>
  </si>
  <si>
    <t>Mzdy</t>
  </si>
  <si>
    <t>Odvody</t>
  </si>
  <si>
    <t>Tovary a služby</t>
  </si>
  <si>
    <t>Transfery</t>
  </si>
  <si>
    <t>Odstupné</t>
  </si>
  <si>
    <t>Prvok 1.1.2 Personál</t>
  </si>
  <si>
    <t>Prvok 1.1.3 Vnútorná kontrola</t>
  </si>
  <si>
    <t>01.1.2</t>
  </si>
  <si>
    <t>Prvok 1.1.4 Služby a kancelárske vybavenie</t>
  </si>
  <si>
    <t>Bankové poplatky</t>
  </si>
  <si>
    <t>Právne služby</t>
  </si>
  <si>
    <t>Softvér (URBIS)</t>
  </si>
  <si>
    <t>Služby DCOM</t>
  </si>
  <si>
    <t>Nábytok OcÚ</t>
  </si>
  <si>
    <t>Prvok 1.1.5 Prevádzka</t>
  </si>
  <si>
    <t>01.1.3</t>
  </si>
  <si>
    <t>01.1.4</t>
  </si>
  <si>
    <t>01.1.5</t>
  </si>
  <si>
    <t>Elektrina</t>
  </si>
  <si>
    <t>Plyn</t>
  </si>
  <si>
    <t>Pohonné hmoty</t>
  </si>
  <si>
    <t>Prvok 1.1.6 Informačný systém (web a rozhlas)</t>
  </si>
  <si>
    <t>08.3.0</t>
  </si>
  <si>
    <t>Prvok 1.1.7 Matrika a evidencia obyvateľstva</t>
  </si>
  <si>
    <t>01.3.3</t>
  </si>
  <si>
    <t>Štátna dotácia</t>
  </si>
  <si>
    <t>Podprogram 1.2 Spoločný obecný úrad</t>
  </si>
  <si>
    <t>09.1.1.1</t>
  </si>
  <si>
    <t>Mzdy MŠ Nesluša</t>
  </si>
  <si>
    <t>09.1.2.1</t>
  </si>
  <si>
    <t>Školský metodik</t>
  </si>
  <si>
    <t>Podprogram 1.3 Správa a údržba majetku</t>
  </si>
  <si>
    <t>04.2.2</t>
  </si>
  <si>
    <t>Lesy</t>
  </si>
  <si>
    <t>06.1.0</t>
  </si>
  <si>
    <t>Byty</t>
  </si>
  <si>
    <t>Ťažba dreva</t>
  </si>
  <si>
    <t>Revízie el. zariadení</t>
  </si>
  <si>
    <t>Podprogram 1.4 Voľby</t>
  </si>
  <si>
    <t>01.6.0</t>
  </si>
  <si>
    <t>PROGRAM 2 - ŠKOLSTVO</t>
  </si>
  <si>
    <t>Podprogram 2.1 Materská škola</t>
  </si>
  <si>
    <t>Podprogram 2.2 Základná škola</t>
  </si>
  <si>
    <t>09.2.1.1</t>
  </si>
  <si>
    <t>Originálne kompetencie</t>
  </si>
  <si>
    <t>Podprogram 2.3 Centrum voľného času</t>
  </si>
  <si>
    <t>09.5.0</t>
  </si>
  <si>
    <t>PROGRAM 3 - VODA</t>
  </si>
  <si>
    <t>Podprogram 3.1 Verejný vodovod</t>
  </si>
  <si>
    <t>06.3.0</t>
  </si>
  <si>
    <t>Údržba vodovodu</t>
  </si>
  <si>
    <t>Vodomery</t>
  </si>
  <si>
    <t>Rozbor vody</t>
  </si>
  <si>
    <t>Odber podzemnej vody</t>
  </si>
  <si>
    <t>Podprogram 3.2 Skupinové vodovody</t>
  </si>
  <si>
    <t>PROGRAM 4 - ODPADOVÉ HOSPODÁRSTVO A ŽIVOTNÉ PROSTREDIE</t>
  </si>
  <si>
    <t>Podprogram 4.1 Komunálny odpad</t>
  </si>
  <si>
    <t>05.1.0</t>
  </si>
  <si>
    <t>Podprogram 4.2 Separovaný zber</t>
  </si>
  <si>
    <t>Kompostéry do domácností</t>
  </si>
  <si>
    <t>Odvoz odpadu</t>
  </si>
  <si>
    <t>Podprogram 4.3 Zberný dvor</t>
  </si>
  <si>
    <t>Podprogram 4.4 Likvidácia skládok</t>
  </si>
  <si>
    <t>PROGRAM 5 - PROSTREDIE PRE ŽIVOT</t>
  </si>
  <si>
    <t>Podprogram 5.1 Bezpečnosť</t>
  </si>
  <si>
    <t>Prvok 5.1.1 Protipožiarna ochrana</t>
  </si>
  <si>
    <t>03.2.0</t>
  </si>
  <si>
    <t>Prvok 5.1.2 Civilná obrana</t>
  </si>
  <si>
    <t>02.2.0</t>
  </si>
  <si>
    <t>Prvok 5.1.3 Verejné osvetlenie</t>
  </si>
  <si>
    <t>06.4.0</t>
  </si>
  <si>
    <t>Dohoda</t>
  </si>
  <si>
    <t>Prvok 5.1.4 Kamerový systém</t>
  </si>
  <si>
    <t>03.6.0</t>
  </si>
  <si>
    <t>Podprogram 5.2 Komunikácie a verejné priestranstvá</t>
  </si>
  <si>
    <t>Prvok 5.2.1 Miestne komunikácie</t>
  </si>
  <si>
    <t>04.5.1</t>
  </si>
  <si>
    <t>Zimná údržba</t>
  </si>
  <si>
    <t>Cesty a chodníky</t>
  </si>
  <si>
    <t>Kanály</t>
  </si>
  <si>
    <t>Prvok 5.2.2 Verejné priestranstvá</t>
  </si>
  <si>
    <t>06.2.0</t>
  </si>
  <si>
    <t>Prvok 5.2.3 Regionálny rozvoj</t>
  </si>
  <si>
    <t>1AC</t>
  </si>
  <si>
    <t>Európsky sociálny fond</t>
  </si>
  <si>
    <t>PROGRAM 6 - ŠPORT, KULTÚRA A INÉ SPOLOČENSKÉ SLUŽBY</t>
  </si>
  <si>
    <t>Podprogram 6.1 Šport</t>
  </si>
  <si>
    <t>Prvok 6.1.1 Futbalový klub</t>
  </si>
  <si>
    <t>08.1.0</t>
  </si>
  <si>
    <t>Prvok 6.1.2 Ostatné športové kluby</t>
  </si>
  <si>
    <t>Šachový klub</t>
  </si>
  <si>
    <t>Stolný tenis</t>
  </si>
  <si>
    <t>Neslušskí vlci</t>
  </si>
  <si>
    <t>Nerozdelené</t>
  </si>
  <si>
    <t>Podprogram 6.2 Kultúra</t>
  </si>
  <si>
    <t>Prvok 6.2.1 Kultúrny dom</t>
  </si>
  <si>
    <t>08.2.0</t>
  </si>
  <si>
    <t>Dohoda správca</t>
  </si>
  <si>
    <t>Prvok 6.2.2 Kultúrne akcie</t>
  </si>
  <si>
    <t>Chomút</t>
  </si>
  <si>
    <t>Rocknes</t>
  </si>
  <si>
    <t>650. výročie obce</t>
  </si>
  <si>
    <t>Hody a iné podujatia</t>
  </si>
  <si>
    <t>Knihy</t>
  </si>
  <si>
    <t>Prvok 6.2.3 Knižnica</t>
  </si>
  <si>
    <t>Podprogram 6.3 Iné služby</t>
  </si>
  <si>
    <t>Prvok 6.3.1 Pohrebná služby</t>
  </si>
  <si>
    <t>08.4.0</t>
  </si>
  <si>
    <t>Pohrebná služba Lisko</t>
  </si>
  <si>
    <t>Prvok 6.3.2 Náboženské a spoločenské spolky a združenia</t>
  </si>
  <si>
    <t>Klub invalidov</t>
  </si>
  <si>
    <t>Červený kríž</t>
  </si>
  <si>
    <t>Priatelia Kysúc</t>
  </si>
  <si>
    <t>Jednota dôchodcov</t>
  </si>
  <si>
    <t>Cirkev</t>
  </si>
  <si>
    <t>PROGRAM 7 - SOLIDARITA</t>
  </si>
  <si>
    <t>Podprogram 7.1 Staroba</t>
  </si>
  <si>
    <t>Prvok 7.1.1 Dom opatrovateľskej služby</t>
  </si>
  <si>
    <t>10.2.0</t>
  </si>
  <si>
    <t>Odstupné s odvodmi a súdne trovy</t>
  </si>
  <si>
    <t>Koks</t>
  </si>
  <si>
    <t>Prvok 7.1.2 Starostlivosť o starých občanov</t>
  </si>
  <si>
    <t>Stravovanie</t>
  </si>
  <si>
    <t>Jubilanti</t>
  </si>
  <si>
    <t>Podprogram 7.2 Rodina a hmotná núdza</t>
  </si>
  <si>
    <t>10.4.0</t>
  </si>
  <si>
    <t>10.7.0</t>
  </si>
  <si>
    <t>Podprogram 7.3 Nezamestnanosť – zrušený</t>
  </si>
  <si>
    <t>PROGRAM 8 - INVESTÍCIE</t>
  </si>
  <si>
    <t>Podprogram 8.1 Samospráva</t>
  </si>
  <si>
    <t>01.1.1-710</t>
  </si>
  <si>
    <t>Rekonštrukcia obecného úradu</t>
  </si>
  <si>
    <t>- schodisko a vonkajší sokel</t>
  </si>
  <si>
    <t>- strecha</t>
  </si>
  <si>
    <t>- výmena plynového kotla</t>
  </si>
  <si>
    <t>- 2. nadzemné podlažie</t>
  </si>
  <si>
    <t>Kúpa rýpadla (+ lízing v P9)</t>
  </si>
  <si>
    <t>Kúpa motorového vozidla</t>
  </si>
  <si>
    <t>Podprogram 8.2 Školstvo</t>
  </si>
  <si>
    <t>09.1.1.1-710</t>
  </si>
  <si>
    <t>MŠ - zateplenie</t>
  </si>
  <si>
    <t>MŠ - nábytok</t>
  </si>
  <si>
    <t>MŠ - rozšírenie kapacity</t>
  </si>
  <si>
    <t>ZŠ - átrium</t>
  </si>
  <si>
    <t>ZŠ - rekonštrukcia WC</t>
  </si>
  <si>
    <t>ZŠ – strecha a telocvičňa</t>
  </si>
  <si>
    <t>ZŠ - neurčené</t>
  </si>
  <si>
    <t>Podprogram 8.3 Voda</t>
  </si>
  <si>
    <t>06.3.0-710</t>
  </si>
  <si>
    <t>Nové trasy</t>
  </si>
  <si>
    <t>Vodojem Chovancovce</t>
  </si>
  <si>
    <t>Rekonštrukcia Močariny</t>
  </si>
  <si>
    <t>Rekonštruckia vodojemov</t>
  </si>
  <si>
    <t>Projekt obecného vodovodu</t>
  </si>
  <si>
    <t>Podprogram 8.4 Odpadové hospodárstvo a životné prostredie</t>
  </si>
  <si>
    <t>05.1.0-710</t>
  </si>
  <si>
    <t>Zberný dvor – zametacie zariadenie</t>
  </si>
  <si>
    <t>Podprogram 8.5 Prostredie pre život</t>
  </si>
  <si>
    <t>04.5.1-710</t>
  </si>
  <si>
    <t>Výstavba miestnych komunikácií</t>
  </si>
  <si>
    <t>Projekt ciest v extraviláne</t>
  </si>
  <si>
    <t>06.2.0-710</t>
  </si>
  <si>
    <t>Projekt centra obce</t>
  </si>
  <si>
    <t>Rekonštrukcia centra obce</t>
  </si>
  <si>
    <t>Átrium v centre obce</t>
  </si>
  <si>
    <t>Regulácia potoka - projekt, obstarávanie</t>
  </si>
  <si>
    <t>Regulácia potoka - realizácia (dotácia)</t>
  </si>
  <si>
    <t>Regulácia potoka - realizácia (vlastné)</t>
  </si>
  <si>
    <t>03.2.0-710</t>
  </si>
  <si>
    <t>Športová úprava striekačky DHZ</t>
  </si>
  <si>
    <t>03.6.0-710</t>
  </si>
  <si>
    <t>Kamerový systém (z dotácie)</t>
  </si>
  <si>
    <t>Kamerový systém (vlastné)</t>
  </si>
  <si>
    <t>Podprogram 8.6 Šport, kultúra a iné spoločenské služby</t>
  </si>
  <si>
    <t>08.1.0-710</t>
  </si>
  <si>
    <t>Projektová dokumentácia</t>
  </si>
  <si>
    <t>Vysporiadanie pozemkov (nezistení vlastníci)</t>
  </si>
  <si>
    <t>Vysporiadanie pozemkov (žijúci)</t>
  </si>
  <si>
    <t>Rekonštrukcia tribúny</t>
  </si>
  <si>
    <t>Podprogram 8.7 Solidarita</t>
  </si>
  <si>
    <t>10.2.0-710</t>
  </si>
  <si>
    <t>DOS - výmena okien</t>
  </si>
  <si>
    <t>DOS - štúdia prestavby HŠ</t>
  </si>
  <si>
    <t>DOS – zníženie energetickej náročnosti</t>
  </si>
  <si>
    <t>DOS - plynofikácia</t>
  </si>
  <si>
    <t>Podprogram 8.8 Plánovanie</t>
  </si>
  <si>
    <t>04.4.3-710</t>
  </si>
  <si>
    <t>Územný plán</t>
  </si>
  <si>
    <t>PROGRAM 9 - VYROVNANIE DLHU</t>
  </si>
  <si>
    <t>Podprogram 9.1 Splácanie úverov</t>
  </si>
  <si>
    <t>Splácanie úrokov</t>
  </si>
  <si>
    <t>Splácanie istiny</t>
  </si>
  <si>
    <t>#</t>
  </si>
  <si>
    <t>číslo štvrťroku</t>
  </si>
  <si>
    <t>Skutočnosť v roku 2014</t>
  </si>
  <si>
    <t>Skutočnosť v roku 2015</t>
  </si>
  <si>
    <t>Schválený rozpočet na rok 2016</t>
  </si>
  <si>
    <t>Skutočnosť v roku 2016</t>
  </si>
  <si>
    <t>Schválený rozpočet na rok 2017</t>
  </si>
  <si>
    <t>Schválený rozpočet na rok 2018</t>
  </si>
  <si>
    <t>Schválený rozpočet na rok 2019</t>
  </si>
  <si>
    <t>CVČ</t>
  </si>
  <si>
    <t>centrum voľného času</t>
  </si>
  <si>
    <t>Č#</t>
  </si>
  <si>
    <t>čerpanie v kvartáli # v eurách</t>
  </si>
  <si>
    <t>DCOM</t>
  </si>
  <si>
    <t>Dátové centrum obcí a miest (e-gov)</t>
  </si>
  <si>
    <t>Dom opatrovateľskej služby</t>
  </si>
  <si>
    <t>ekonomická klasifikácia</t>
  </si>
  <si>
    <t>ESF</t>
  </si>
  <si>
    <t>funkčná klasifikácia</t>
  </si>
  <si>
    <t>HŠ</t>
  </si>
  <si>
    <t>bývalá horná škola</t>
  </si>
  <si>
    <t>KV</t>
  </si>
  <si>
    <t>kapitálové výdavky</t>
  </si>
  <si>
    <t>MŠ</t>
  </si>
  <si>
    <t>Materská škola Nesluša</t>
  </si>
  <si>
    <t>P#</t>
  </si>
  <si>
    <t>plnenie v kvartáli # v percentách</t>
  </si>
  <si>
    <t>program</t>
  </si>
  <si>
    <t>podprogram</t>
  </si>
  <si>
    <t>prvok</t>
  </si>
  <si>
    <t>účtované v účtovníctve rozpočtovej organizácie Základná škola Nesluša</t>
  </si>
  <si>
    <t>SZP</t>
  </si>
  <si>
    <t>sociálne znevýhodnené prostredie</t>
  </si>
  <si>
    <t>ŠJ</t>
  </si>
  <si>
    <t>školská jedáleň</t>
  </si>
  <si>
    <t>U#</t>
  </si>
  <si>
    <t>úpravy v kvartáli #</t>
  </si>
  <si>
    <t>URBIS</t>
  </si>
  <si>
    <t>informačný systém (účtovníctvo, administratíva, evidencie, dane...)</t>
  </si>
  <si>
    <t>ZŠ</t>
  </si>
  <si>
    <t>Základná škola Nesluša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</si>
</sst>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\ %"/>
  </numFmts>
  <fonts count="12" x14ac:knownFonts="1">
    <font>
      <sz val="11"/>
      <color rgb="FF000000"/>
      <name val="Calibri"/>
      <charset val="238"/>
    </font>
    <font>
      <sz val="11"/>
      <color rgb="FF000000"/>
      <name val="Arial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Segoe UI"/>
      <charset val="238"/>
    </font>
    <font>
      <sz val="9"/>
      <color rgb="FF000000"/>
      <name val="Segoe UI"/>
      <charset val="238"/>
    </font>
    <font>
      <b/>
      <sz val="11"/>
      <color rgb="FF000000"/>
      <name val="Calibri"/>
      <charset val="238"/>
    </font>
    <font>
      <i/>
      <sz val="11"/>
      <color rgb="FF000000"/>
      <name val="Calibri"/>
      <charset val="238"/>
    </font>
    <font>
      <b/>
      <strike/>
      <sz val="11"/>
      <color rgb="FF000000"/>
      <name val="Calibri"/>
      <charset val="238"/>
    </font>
    <font>
      <strike/>
      <sz val="11"/>
      <color rgb="FF000000"/>
      <name val="Calibri"/>
      <charset val="238"/>
    </font>
    <font>
      <i/>
      <strike/>
      <sz val="11"/>
      <color rgb="FF000000"/>
      <name val="Calibri"/>
      <charset val="238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E2EFDA"/>
      </patternFill>
    </fill>
    <fill>
      <patternFill patternType="solid">
        <fgColor rgb="FFE2EFDA"/>
        <bgColor rgb="FFFFF2CC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1" fillId="0" borderId="0" applyBorder="0" applyProtection="0"/>
  </cellStyleXfs>
  <cellXfs count="139">
    <xf numFmtId="0" fontId="0" fillId="0" borderId="0" xfId="0"/>
    <xf numFmtId="14" fontId="10" fillId="0" borderId="1" xfId="0" applyNumberFormat="1" applyFont="1" applyBorder="1" applyAlignment="1">
      <alignment horizontal="left" vertical="center"/>
    </xf>
    <xf numFmtId="14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7" fillId="7" borderId="0" xfId="0" applyFont="1" applyFill="1" applyAlignment="1"/>
    <xf numFmtId="0" fontId="0" fillId="0" borderId="1" xfId="0" applyFont="1" applyBorder="1" applyAlignment="1">
      <alignment vertical="center"/>
    </xf>
    <xf numFmtId="0" fontId="7" fillId="6" borderId="0" xfId="0" applyFont="1" applyFill="1" applyAlignment="1"/>
    <xf numFmtId="0" fontId="0" fillId="5" borderId="1" xfId="0" applyFont="1" applyFill="1" applyBorder="1" applyAlignment="1">
      <alignment vertical="center"/>
    </xf>
    <xf numFmtId="0" fontId="7" fillId="4" borderId="0" xfId="0" applyFont="1" applyFill="1" applyAlignment="1"/>
    <xf numFmtId="0" fontId="0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2" fillId="0" borderId="0" xfId="0" applyFont="1"/>
    <xf numFmtId="0" fontId="2" fillId="0" borderId="0" xfId="0" applyFont="1"/>
    <xf numFmtId="0" fontId="3" fillId="2" borderId="0" xfId="0" applyFont="1" applyFill="1"/>
    <xf numFmtId="0" fontId="2" fillId="2" borderId="0" xfId="0" applyFont="1" applyFill="1"/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4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0" fontId="3" fillId="4" borderId="0" xfId="0" applyFont="1" applyFill="1" applyAlignment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4" fontId="2" fillId="5" borderId="1" xfId="0" applyNumberFormat="1" applyFont="1" applyFill="1" applyBorder="1"/>
    <xf numFmtId="0" fontId="3" fillId="5" borderId="1" xfId="0" applyFont="1" applyFill="1" applyBorder="1"/>
    <xf numFmtId="4" fontId="3" fillId="5" borderId="1" xfId="0" applyNumberFormat="1" applyFont="1" applyFill="1" applyBorder="1"/>
    <xf numFmtId="0" fontId="3" fillId="6" borderId="0" xfId="0" applyFont="1" applyFill="1" applyAlignment="1"/>
    <xf numFmtId="14" fontId="3" fillId="0" borderId="0" xfId="0" applyNumberFormat="1" applyFont="1"/>
    <xf numFmtId="0" fontId="3" fillId="0" borderId="0" xfId="0" applyFont="1"/>
    <xf numFmtId="4" fontId="2" fillId="0" borderId="1" xfId="0" applyNumberFormat="1" applyFont="1" applyBorder="1"/>
    <xf numFmtId="0" fontId="4" fillId="0" borderId="1" xfId="0" applyFont="1" applyBorder="1"/>
    <xf numFmtId="4" fontId="4" fillId="0" borderId="1" xfId="0" applyNumberFormat="1" applyFont="1" applyBorder="1"/>
    <xf numFmtId="0" fontId="2" fillId="0" borderId="4" xfId="0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5" xfId="0" applyFont="1" applyBorder="1"/>
    <xf numFmtId="0" fontId="2" fillId="0" borderId="0" xfId="0" applyFont="1"/>
    <xf numFmtId="4" fontId="2" fillId="0" borderId="0" xfId="0" applyNumberFormat="1" applyFont="1"/>
    <xf numFmtId="4" fontId="2" fillId="0" borderId="6" xfId="0" applyNumberFormat="1" applyFont="1" applyBorder="1"/>
    <xf numFmtId="4" fontId="2" fillId="0" borderId="0" xfId="0" applyNumberFormat="1" applyFont="1"/>
    <xf numFmtId="0" fontId="2" fillId="0" borderId="7" xfId="0" applyFont="1" applyBorder="1"/>
    <xf numFmtId="0" fontId="2" fillId="0" borderId="8" xfId="0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5" borderId="1" xfId="0" applyNumberFormat="1" applyFont="1" applyFill="1" applyBorder="1" applyAlignment="1"/>
    <xf numFmtId="0" fontId="3" fillId="7" borderId="0" xfId="0" applyFont="1" applyFill="1" applyAlignment="1"/>
    <xf numFmtId="4" fontId="2" fillId="0" borderId="1" xfId="0" applyNumberFormat="1" applyFont="1" applyBorder="1" applyAlignment="1"/>
    <xf numFmtId="4" fontId="2" fillId="0" borderId="1" xfId="0" applyNumberFormat="1" applyFont="1" applyBorder="1" applyAlignment="1"/>
    <xf numFmtId="14" fontId="3" fillId="0" borderId="1" xfId="0" applyNumberFormat="1" applyFont="1" applyBorder="1"/>
    <xf numFmtId="0" fontId="2" fillId="0" borderId="8" xfId="0" applyFont="1" applyBorder="1"/>
    <xf numFmtId="0" fontId="0" fillId="0" borderId="0" xfId="0"/>
    <xf numFmtId="0" fontId="7" fillId="2" borderId="0" xfId="0" applyFont="1" applyFill="1"/>
    <xf numFmtId="0" fontId="0" fillId="2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 applyAlignment="1">
      <alignment horizontal="center" wrapText="1"/>
    </xf>
    <xf numFmtId="0" fontId="0" fillId="0" borderId="1" xfId="0" applyBorder="1"/>
    <xf numFmtId="4" fontId="0" fillId="0" borderId="1" xfId="0" applyNumberFormat="1" applyBorder="1"/>
    <xf numFmtId="0" fontId="7" fillId="0" borderId="1" xfId="0" applyFont="1" applyBorder="1"/>
    <xf numFmtId="4" fontId="7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7" fillId="4" borderId="0" xfId="0" applyFont="1" applyFill="1" applyAlignment="1"/>
    <xf numFmtId="0" fontId="0" fillId="5" borderId="1" xfId="0" applyFont="1" applyFill="1" applyBorder="1" applyAlignment="1">
      <alignment vertical="center"/>
    </xf>
    <xf numFmtId="0" fontId="0" fillId="5" borderId="1" xfId="0" applyFill="1" applyBorder="1"/>
    <xf numFmtId="4" fontId="0" fillId="5" borderId="1" xfId="0" applyNumberFormat="1" applyFill="1" applyBorder="1"/>
    <xf numFmtId="0" fontId="7" fillId="5" borderId="1" xfId="0" applyFont="1" applyFill="1" applyBorder="1"/>
    <xf numFmtId="4" fontId="7" fillId="5" borderId="1" xfId="0" applyNumberFormat="1" applyFont="1" applyFill="1" applyBorder="1"/>
    <xf numFmtId="0" fontId="7" fillId="6" borderId="0" xfId="0" applyFont="1" applyFill="1" applyAlignment="1"/>
    <xf numFmtId="0" fontId="0" fillId="0" borderId="1" xfId="0" applyFont="1" applyBorder="1" applyAlignment="1">
      <alignment vertical="center"/>
    </xf>
    <xf numFmtId="0" fontId="7" fillId="7" borderId="0" xfId="0" applyFont="1" applyFill="1" applyAlignment="1"/>
    <xf numFmtId="14" fontId="0" fillId="0" borderId="1" xfId="0" applyNumberFormat="1" applyFont="1" applyBorder="1" applyAlignment="1">
      <alignment horizontal="left" vertical="center"/>
    </xf>
    <xf numFmtId="4" fontId="0" fillId="0" borderId="1" xfId="0" applyNumberFormat="1" applyBorder="1"/>
    <xf numFmtId="14" fontId="7" fillId="0" borderId="1" xfId="0" applyNumberFormat="1" applyFont="1" applyBorder="1"/>
    <xf numFmtId="14" fontId="7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0" fillId="0" borderId="10" xfId="0" applyFont="1" applyBorder="1"/>
    <xf numFmtId="0" fontId="0" fillId="0" borderId="11" xfId="0" applyFont="1" applyBorder="1"/>
    <xf numFmtId="4" fontId="0" fillId="0" borderId="11" xfId="0" applyNumberFormat="1" applyBorder="1"/>
    <xf numFmtId="4" fontId="0" fillId="0" borderId="12" xfId="0" applyNumberFormat="1" applyBorder="1"/>
    <xf numFmtId="14" fontId="0" fillId="0" borderId="1" xfId="0" applyNumberFormat="1" applyFont="1" applyBorder="1" applyAlignment="1">
      <alignment vertical="center"/>
    </xf>
    <xf numFmtId="0" fontId="0" fillId="0" borderId="4" xfId="0" applyFont="1" applyBorder="1"/>
    <xf numFmtId="4" fontId="0" fillId="0" borderId="2" xfId="0" applyNumberFormat="1" applyBorder="1"/>
    <xf numFmtId="4" fontId="0" fillId="0" borderId="3" xfId="0" applyNumberFormat="1" applyBorder="1"/>
    <xf numFmtId="0" fontId="0" fillId="0" borderId="5" xfId="0" applyBorder="1"/>
    <xf numFmtId="4" fontId="0" fillId="0" borderId="0" xfId="0" applyNumberFormat="1"/>
    <xf numFmtId="4" fontId="0" fillId="0" borderId="6" xfId="0" applyNumberFormat="1" applyBorder="1"/>
    <xf numFmtId="0" fontId="0" fillId="0" borderId="0" xfId="0" applyFont="1" applyBorder="1"/>
    <xf numFmtId="4" fontId="0" fillId="0" borderId="0" xfId="0" applyNumberFormat="1" applyBorder="1"/>
    <xf numFmtId="0" fontId="0" fillId="0" borderId="7" xfId="0" applyBorder="1"/>
    <xf numFmtId="0" fontId="0" fillId="0" borderId="8" xfId="0" applyFont="1" applyBorder="1"/>
    <xf numFmtId="4" fontId="0" fillId="0" borderId="8" xfId="0" applyNumberFormat="1" applyBorder="1"/>
    <xf numFmtId="4" fontId="0" fillId="0" borderId="9" xfId="0" applyNumberFormat="1" applyBorder="1"/>
    <xf numFmtId="14" fontId="8" fillId="0" borderId="1" xfId="0" applyNumberFormat="1" applyFont="1" applyBorder="1"/>
    <xf numFmtId="0" fontId="8" fillId="0" borderId="1" xfId="0" applyFont="1" applyBorder="1"/>
    <xf numFmtId="4" fontId="8" fillId="0" borderId="1" xfId="0" applyNumberFormat="1" applyFont="1" applyBorder="1"/>
    <xf numFmtId="14" fontId="0" fillId="0" borderId="1" xfId="0" applyNumberFormat="1" applyFont="1" applyBorder="1"/>
    <xf numFmtId="0" fontId="0" fillId="0" borderId="0" xfId="0" applyFont="1"/>
    <xf numFmtId="0" fontId="0" fillId="0" borderId="1" xfId="0" applyBorder="1"/>
    <xf numFmtId="14" fontId="7" fillId="0" borderId="1" xfId="0" applyNumberFormat="1" applyFont="1" applyBorder="1"/>
    <xf numFmtId="0" fontId="7" fillId="0" borderId="1" xfId="0" applyFont="1" applyBorder="1"/>
    <xf numFmtId="4" fontId="7" fillId="0" borderId="1" xfId="0" applyNumberFormat="1" applyFont="1" applyBorder="1"/>
    <xf numFmtId="0" fontId="0" fillId="3" borderId="8" xfId="0" applyFill="1" applyBorder="1" applyAlignment="1">
      <alignment horizontal="center"/>
    </xf>
    <xf numFmtId="1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0" fillId="0" borderId="13" xfId="0" applyFont="1" applyBorder="1" applyAlignment="1">
      <alignment vertical="center"/>
    </xf>
    <xf numFmtId="0" fontId="0" fillId="0" borderId="13" xfId="0" applyBorder="1"/>
    <xf numFmtId="4" fontId="0" fillId="0" borderId="0" xfId="0" applyNumberFormat="1"/>
    <xf numFmtId="4" fontId="0" fillId="0" borderId="8" xfId="0" applyNumberFormat="1" applyBorder="1"/>
    <xf numFmtId="14" fontId="0" fillId="0" borderId="14" xfId="0" applyNumberFormat="1" applyFont="1" applyBorder="1" applyAlignment="1">
      <alignment vertical="center"/>
    </xf>
    <xf numFmtId="14" fontId="0" fillId="0" borderId="13" xfId="0" applyNumberFormat="1" applyFont="1" applyBorder="1" applyAlignment="1">
      <alignment vertical="center"/>
    </xf>
    <xf numFmtId="0" fontId="9" fillId="6" borderId="0" xfId="0" applyFont="1" applyFill="1" applyAlignment="1"/>
    <xf numFmtId="0" fontId="10" fillId="3" borderId="0" xfId="0" applyFont="1" applyFill="1" applyAlignment="1">
      <alignment horizontal="center" wrapText="1"/>
    </xf>
    <xf numFmtId="0" fontId="10" fillId="0" borderId="1" xfId="0" applyFont="1" applyBorder="1"/>
    <xf numFmtId="4" fontId="10" fillId="0" borderId="1" xfId="0" applyNumberFormat="1" applyFont="1" applyBorder="1"/>
    <xf numFmtId="14" fontId="11" fillId="0" borderId="1" xfId="0" applyNumberFormat="1" applyFont="1" applyBorder="1"/>
    <xf numFmtId="0" fontId="11" fillId="0" borderId="1" xfId="0" applyFont="1" applyBorder="1"/>
    <xf numFmtId="4" fontId="11" fillId="0" borderId="1" xfId="0" applyNumberFormat="1" applyFont="1" applyBorder="1"/>
    <xf numFmtId="0" fontId="10" fillId="0" borderId="2" xfId="0" applyFont="1" applyBorder="1"/>
    <xf numFmtId="0" fontId="10" fillId="0" borderId="3" xfId="0" applyFont="1" applyBorder="1"/>
    <xf numFmtId="0" fontId="9" fillId="0" borderId="1" xfId="0" applyFont="1" applyBorder="1"/>
    <xf numFmtId="4" fontId="9" fillId="0" borderId="1" xfId="0" applyNumberFormat="1" applyFont="1" applyBorder="1"/>
    <xf numFmtId="0" fontId="0" fillId="3" borderId="8" xfId="0" applyFill="1" applyBorder="1" applyAlignment="1">
      <alignment horizontal="center" wrapText="1"/>
    </xf>
    <xf numFmtId="0" fontId="0" fillId="0" borderId="15" xfId="0" applyFont="1" applyBorder="1" applyAlignment="1">
      <alignment vertical="center"/>
    </xf>
    <xf numFmtId="4" fontId="0" fillId="0" borderId="11" xfId="0" applyNumberFormat="1" applyBorder="1"/>
    <xf numFmtId="0" fontId="0" fillId="0" borderId="10" xfId="0" applyFont="1" applyBorder="1"/>
    <xf numFmtId="0" fontId="0" fillId="0" borderId="1" xfId="0" applyFont="1" applyBorder="1" applyAlignment="1"/>
    <xf numFmtId="0" fontId="0" fillId="0" borderId="12" xfId="0" applyBorder="1"/>
    <xf numFmtId="165" fontId="0" fillId="0" borderId="0" xfId="0" applyNumberFormat="1"/>
    <xf numFmtId="0" fontId="2" fillId="0" borderId="0" xfId="1" applyFont="1" applyAlignment="1" applyProtection="1"/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08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561975</xdr:colOff>
      <xdr:row>50</xdr:row>
      <xdr:rowOff>19050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id="{A784DC7F-3584-4E0A-B3A7-B7F6E37D3BEE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561975</xdr:colOff>
      <xdr:row>50</xdr:row>
      <xdr:rowOff>19050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id="{2B7ED0F9-AAE4-4302-AAC1-F0B4FF56A44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561975</xdr:colOff>
      <xdr:row>50</xdr:row>
      <xdr:rowOff>19050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id="{0AFC03F8-CCE5-4F5B-B2CF-FFC1A9DE7EE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561975</xdr:colOff>
      <xdr:row>50</xdr:row>
      <xdr:rowOff>19050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id="{C8313494-F9D5-4715-9586-00A62A5EA37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561975</xdr:colOff>
      <xdr:row>50</xdr:row>
      <xdr:rowOff>19050</xdr:rowOff>
    </xdr:to>
    <xdr:sp macro="" textlink="">
      <xdr:nvSpPr>
        <xdr:cNvPr id="2056" name="shapetype_202" hidden="1">
          <a:extLst>
            <a:ext uri="{FF2B5EF4-FFF2-40B4-BE49-F238E27FC236}">
              <a16:creationId xmlns:a16="http://schemas.microsoft.com/office/drawing/2014/main" id="{8746A1A5-567D-47E6-B5E0-2B3CB3681CAB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561975</xdr:colOff>
      <xdr:row>50</xdr:row>
      <xdr:rowOff>19050</xdr:rowOff>
    </xdr:to>
    <xdr:sp macro="" textlink="">
      <xdr:nvSpPr>
        <xdr:cNvPr id="2054" name="shapetype_202" hidden="1">
          <a:extLst>
            <a:ext uri="{FF2B5EF4-FFF2-40B4-BE49-F238E27FC236}">
              <a16:creationId xmlns:a16="http://schemas.microsoft.com/office/drawing/2014/main" id="{296E4FB4-295E-4B3F-A8A2-28B5E986E20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561975</xdr:colOff>
      <xdr:row>50</xdr:row>
      <xdr:rowOff>19050</xdr:rowOff>
    </xdr:to>
    <xdr:sp macro="" textlink="">
      <xdr:nvSpPr>
        <xdr:cNvPr id="2052" name="shapetype_202" hidden="1">
          <a:extLst>
            <a:ext uri="{FF2B5EF4-FFF2-40B4-BE49-F238E27FC236}">
              <a16:creationId xmlns:a16="http://schemas.microsoft.com/office/drawing/2014/main" id="{8A8380DB-F703-4200-8B37-DB2456AD958C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561975</xdr:colOff>
      <xdr:row>50</xdr:row>
      <xdr:rowOff>19050</xdr:rowOff>
    </xdr:to>
    <xdr:sp macro="" textlink="">
      <xdr:nvSpPr>
        <xdr:cNvPr id="2050" name="shapetype_202" hidden="1">
          <a:extLst>
            <a:ext uri="{FF2B5EF4-FFF2-40B4-BE49-F238E27FC236}">
              <a16:creationId xmlns:a16="http://schemas.microsoft.com/office/drawing/2014/main" id="{44D6C872-7339-47AB-A0B3-3F9EA92950CD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K116"/>
  <sheetViews>
    <sheetView tabSelected="1" zoomScaleNormal="100" workbookViewId="0"/>
  </sheetViews>
  <sheetFormatPr defaultRowHeight="15" x14ac:dyDescent="0.25"/>
  <cols>
    <col min="1" max="1" width="11.5703125" style="17" customWidth="1"/>
    <col min="2" max="2" width="8.5703125" style="17" customWidth="1"/>
    <col min="3" max="3" width="18.140625" style="17" customWidth="1"/>
    <col min="4" max="10" width="11.28515625" style="17" customWidth="1"/>
    <col min="11" max="1011" width="8.5703125" style="17" customWidth="1"/>
    <col min="1012" max="1025" width="8.5703125" style="18" customWidth="1"/>
  </cols>
  <sheetData>
    <row r="1" spans="1:10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1"/>
      <c r="B2" s="21"/>
      <c r="C2" s="21"/>
      <c r="D2" s="22" t="s">
        <v>1</v>
      </c>
      <c r="E2" s="22" t="s">
        <v>2</v>
      </c>
      <c r="F2" s="22" t="s">
        <v>3</v>
      </c>
      <c r="G2" s="22" t="s">
        <v>4</v>
      </c>
      <c r="H2" s="22" t="s">
        <v>5</v>
      </c>
      <c r="I2" s="22" t="s">
        <v>6</v>
      </c>
      <c r="J2" s="22" t="s">
        <v>7</v>
      </c>
    </row>
    <row r="3" spans="1:10" ht="13.9" customHeight="1" x14ac:dyDescent="0.25">
      <c r="A3" s="14" t="s">
        <v>8</v>
      </c>
      <c r="B3" s="23">
        <v>111</v>
      </c>
      <c r="C3" s="23" t="s">
        <v>9</v>
      </c>
      <c r="D3" s="24">
        <f>D68-D99</f>
        <v>464738.5199999999</v>
      </c>
      <c r="E3" s="24">
        <f>E68</f>
        <v>486713.67</v>
      </c>
      <c r="F3" s="24">
        <f>F68</f>
        <v>513430</v>
      </c>
      <c r="G3" s="24">
        <f>G68</f>
        <v>565026.47000000009</v>
      </c>
      <c r="H3" s="24">
        <f>H68-H6</f>
        <v>489442</v>
      </c>
      <c r="I3" s="24">
        <f>I68-I6</f>
        <v>478886</v>
      </c>
      <c r="J3" s="24">
        <f>J68</f>
        <v>482886</v>
      </c>
    </row>
    <row r="4" spans="1:10" x14ac:dyDescent="0.25">
      <c r="A4" s="14"/>
      <c r="B4" s="23">
        <v>41</v>
      </c>
      <c r="C4" s="23" t="s">
        <v>10</v>
      </c>
      <c r="D4" s="24">
        <f t="shared" ref="D4:J4" si="0">D20+D38-D7</f>
        <v>815576.10999999987</v>
      </c>
      <c r="E4" s="24">
        <f t="shared" si="0"/>
        <v>900364.64999999991</v>
      </c>
      <c r="F4" s="24">
        <f t="shared" si="0"/>
        <v>954999</v>
      </c>
      <c r="G4" s="24">
        <f t="shared" si="0"/>
        <v>1022076.97</v>
      </c>
      <c r="H4" s="24">
        <f t="shared" si="0"/>
        <v>1056676</v>
      </c>
      <c r="I4" s="24">
        <f t="shared" si="0"/>
        <v>1056676</v>
      </c>
      <c r="J4" s="24">
        <f t="shared" si="0"/>
        <v>1056676</v>
      </c>
    </row>
    <row r="5" spans="1:10" x14ac:dyDescent="0.25">
      <c r="A5" s="14"/>
      <c r="B5" s="23"/>
      <c r="C5" s="25" t="s">
        <v>11</v>
      </c>
      <c r="D5" s="26">
        <f t="shared" ref="D5:J5" si="1">SUM(D3:D4)</f>
        <v>1280314.6299999999</v>
      </c>
      <c r="E5" s="26">
        <f t="shared" si="1"/>
        <v>1387078.3199999998</v>
      </c>
      <c r="F5" s="26">
        <f t="shared" si="1"/>
        <v>1468429</v>
      </c>
      <c r="G5" s="26">
        <f t="shared" si="1"/>
        <v>1587103.44</v>
      </c>
      <c r="H5" s="26">
        <f t="shared" si="1"/>
        <v>1546118</v>
      </c>
      <c r="I5" s="26">
        <f t="shared" si="1"/>
        <v>1535562</v>
      </c>
      <c r="J5" s="26">
        <f t="shared" si="1"/>
        <v>1539562</v>
      </c>
    </row>
    <row r="6" spans="1:10" x14ac:dyDescent="0.25">
      <c r="A6" s="14"/>
      <c r="B6" s="23">
        <v>111</v>
      </c>
      <c r="C6" s="23" t="s">
        <v>9</v>
      </c>
      <c r="D6" s="24">
        <f>D99</f>
        <v>10000</v>
      </c>
      <c r="E6" s="24">
        <f>E99</f>
        <v>0</v>
      </c>
      <c r="F6" s="24">
        <f>F99</f>
        <v>0</v>
      </c>
      <c r="G6" s="24">
        <f>G99</f>
        <v>50000</v>
      </c>
      <c r="H6" s="24">
        <f>H95+H96+H98</f>
        <v>1505300</v>
      </c>
      <c r="I6" s="24">
        <f>I97</f>
        <v>274600</v>
      </c>
      <c r="J6" s="24">
        <f>J99</f>
        <v>0</v>
      </c>
    </row>
    <row r="7" spans="1:10" x14ac:dyDescent="0.25">
      <c r="A7" s="14"/>
      <c r="B7" s="23">
        <v>43</v>
      </c>
      <c r="C7" s="23" t="s">
        <v>10</v>
      </c>
      <c r="D7" s="24">
        <f t="shared" ref="D7:J7" si="2">D45</f>
        <v>1072.5</v>
      </c>
      <c r="E7" s="24">
        <f t="shared" si="2"/>
        <v>280</v>
      </c>
      <c r="F7" s="24">
        <f t="shared" si="2"/>
        <v>0</v>
      </c>
      <c r="G7" s="24">
        <f t="shared" si="2"/>
        <v>0</v>
      </c>
      <c r="H7" s="24">
        <f t="shared" si="2"/>
        <v>0</v>
      </c>
      <c r="I7" s="24">
        <f t="shared" si="2"/>
        <v>0</v>
      </c>
      <c r="J7" s="24">
        <f t="shared" si="2"/>
        <v>0</v>
      </c>
    </row>
    <row r="8" spans="1:10" x14ac:dyDescent="0.25">
      <c r="A8" s="14"/>
      <c r="B8" s="23"/>
      <c r="C8" s="25" t="s">
        <v>12</v>
      </c>
      <c r="D8" s="26">
        <f t="shared" ref="D8:J8" si="3">SUM(D6:D7)</f>
        <v>11072.5</v>
      </c>
      <c r="E8" s="26">
        <f t="shared" si="3"/>
        <v>280</v>
      </c>
      <c r="F8" s="26">
        <f t="shared" si="3"/>
        <v>0</v>
      </c>
      <c r="G8" s="26">
        <f t="shared" si="3"/>
        <v>50000</v>
      </c>
      <c r="H8" s="26">
        <f t="shared" si="3"/>
        <v>1505300</v>
      </c>
      <c r="I8" s="26">
        <f t="shared" si="3"/>
        <v>274600</v>
      </c>
      <c r="J8" s="26">
        <f t="shared" si="3"/>
        <v>0</v>
      </c>
    </row>
    <row r="9" spans="1:10" x14ac:dyDescent="0.25">
      <c r="A9" s="14"/>
      <c r="B9" s="23">
        <v>131</v>
      </c>
      <c r="C9" s="23" t="s">
        <v>9</v>
      </c>
      <c r="D9" s="24">
        <f t="shared" ref="D9:J11" si="4">D104</f>
        <v>22382.36</v>
      </c>
      <c r="E9" s="24">
        <f t="shared" si="4"/>
        <v>17330.41</v>
      </c>
      <c r="F9" s="24">
        <f t="shared" si="4"/>
        <v>0</v>
      </c>
      <c r="G9" s="24">
        <f t="shared" si="4"/>
        <v>3513</v>
      </c>
      <c r="H9" s="24">
        <f t="shared" si="4"/>
        <v>0</v>
      </c>
      <c r="I9" s="24">
        <f t="shared" si="4"/>
        <v>0</v>
      </c>
      <c r="J9" s="24">
        <f t="shared" si="4"/>
        <v>0</v>
      </c>
    </row>
    <row r="10" spans="1:10" x14ac:dyDescent="0.25">
      <c r="A10" s="14"/>
      <c r="B10" s="23">
        <v>41</v>
      </c>
      <c r="C10" s="23" t="s">
        <v>10</v>
      </c>
      <c r="D10" s="24">
        <f t="shared" si="4"/>
        <v>3387.31</v>
      </c>
      <c r="E10" s="24">
        <f t="shared" si="4"/>
        <v>12173.51</v>
      </c>
      <c r="F10" s="24">
        <f t="shared" si="4"/>
        <v>182899</v>
      </c>
      <c r="G10" s="24">
        <f t="shared" si="4"/>
        <v>11270.570000000007</v>
      </c>
      <c r="H10" s="24">
        <f t="shared" si="4"/>
        <v>147240</v>
      </c>
      <c r="I10" s="24">
        <f t="shared" si="4"/>
        <v>0</v>
      </c>
      <c r="J10" s="24">
        <f t="shared" si="4"/>
        <v>0</v>
      </c>
    </row>
    <row r="11" spans="1:10" x14ac:dyDescent="0.25">
      <c r="A11" s="14"/>
      <c r="B11" s="23">
        <v>52</v>
      </c>
      <c r="C11" s="23" t="s">
        <v>13</v>
      </c>
      <c r="D11" s="24">
        <f t="shared" si="4"/>
        <v>0</v>
      </c>
      <c r="E11" s="24">
        <f t="shared" si="4"/>
        <v>0</v>
      </c>
      <c r="F11" s="24">
        <f t="shared" si="4"/>
        <v>0</v>
      </c>
      <c r="G11" s="24">
        <f t="shared" si="4"/>
        <v>0</v>
      </c>
      <c r="H11" s="24">
        <f t="shared" si="4"/>
        <v>60000</v>
      </c>
      <c r="I11" s="24">
        <f t="shared" si="4"/>
        <v>0</v>
      </c>
      <c r="J11" s="24">
        <f t="shared" si="4"/>
        <v>0</v>
      </c>
    </row>
    <row r="12" spans="1:10" x14ac:dyDescent="0.25">
      <c r="A12" s="14"/>
      <c r="B12" s="23"/>
      <c r="C12" s="25" t="s">
        <v>14</v>
      </c>
      <c r="D12" s="26">
        <f t="shared" ref="D12:J12" si="5">SUM(D9:D11)</f>
        <v>25769.670000000002</v>
      </c>
      <c r="E12" s="26">
        <f t="shared" si="5"/>
        <v>29503.919999999998</v>
      </c>
      <c r="F12" s="26">
        <f t="shared" si="5"/>
        <v>182899</v>
      </c>
      <c r="G12" s="26">
        <f t="shared" si="5"/>
        <v>14783.570000000007</v>
      </c>
      <c r="H12" s="26">
        <f t="shared" si="5"/>
        <v>207240</v>
      </c>
      <c r="I12" s="26">
        <f t="shared" si="5"/>
        <v>0</v>
      </c>
      <c r="J12" s="26">
        <f t="shared" si="5"/>
        <v>0</v>
      </c>
    </row>
    <row r="13" spans="1:10" x14ac:dyDescent="0.25">
      <c r="A13" s="14"/>
      <c r="B13" s="23">
        <v>111</v>
      </c>
      <c r="C13" s="23" t="s">
        <v>9</v>
      </c>
      <c r="D13" s="24">
        <f t="shared" ref="D13:J14" si="6">D3+D6+D9</f>
        <v>497120.87999999989</v>
      </c>
      <c r="E13" s="24">
        <f t="shared" si="6"/>
        <v>504044.07999999996</v>
      </c>
      <c r="F13" s="24">
        <f t="shared" si="6"/>
        <v>513430</v>
      </c>
      <c r="G13" s="24">
        <f t="shared" si="6"/>
        <v>618539.47000000009</v>
      </c>
      <c r="H13" s="24">
        <f t="shared" si="6"/>
        <v>1994742</v>
      </c>
      <c r="I13" s="24">
        <f t="shared" si="6"/>
        <v>753486</v>
      </c>
      <c r="J13" s="24">
        <f t="shared" si="6"/>
        <v>482886</v>
      </c>
    </row>
    <row r="14" spans="1:10" x14ac:dyDescent="0.25">
      <c r="A14" s="14"/>
      <c r="B14" s="23">
        <v>41</v>
      </c>
      <c r="C14" s="23" t="s">
        <v>10</v>
      </c>
      <c r="D14" s="24">
        <f t="shared" si="6"/>
        <v>820035.91999999993</v>
      </c>
      <c r="E14" s="24">
        <f t="shared" si="6"/>
        <v>912818.15999999992</v>
      </c>
      <c r="F14" s="24">
        <f t="shared" si="6"/>
        <v>1137898</v>
      </c>
      <c r="G14" s="24">
        <f t="shared" si="6"/>
        <v>1033347.54</v>
      </c>
      <c r="H14" s="24">
        <f t="shared" si="6"/>
        <v>1203916</v>
      </c>
      <c r="I14" s="24">
        <f t="shared" si="6"/>
        <v>1056676</v>
      </c>
      <c r="J14" s="24">
        <f t="shared" si="6"/>
        <v>1056676</v>
      </c>
    </row>
    <row r="15" spans="1:10" x14ac:dyDescent="0.25">
      <c r="A15" s="14"/>
      <c r="B15" s="23">
        <v>52</v>
      </c>
      <c r="C15" s="23" t="s">
        <v>13</v>
      </c>
      <c r="D15" s="24">
        <f t="shared" ref="D15:J15" si="7">D11</f>
        <v>0</v>
      </c>
      <c r="E15" s="24">
        <f t="shared" si="7"/>
        <v>0</v>
      </c>
      <c r="F15" s="24">
        <f t="shared" si="7"/>
        <v>0</v>
      </c>
      <c r="G15" s="24">
        <f t="shared" si="7"/>
        <v>0</v>
      </c>
      <c r="H15" s="24">
        <f t="shared" si="7"/>
        <v>60000</v>
      </c>
      <c r="I15" s="24">
        <f t="shared" si="7"/>
        <v>0</v>
      </c>
      <c r="J15" s="24">
        <f t="shared" si="7"/>
        <v>0</v>
      </c>
    </row>
    <row r="16" spans="1:10" x14ac:dyDescent="0.25">
      <c r="A16" s="27"/>
      <c r="B16" s="28"/>
      <c r="C16" s="25" t="s">
        <v>15</v>
      </c>
      <c r="D16" s="26">
        <f t="shared" ref="D16:J16" si="8">SUM(D13:D15)</f>
        <v>1317156.7999999998</v>
      </c>
      <c r="E16" s="26">
        <f t="shared" si="8"/>
        <v>1416862.2399999998</v>
      </c>
      <c r="F16" s="26">
        <f t="shared" si="8"/>
        <v>1651328</v>
      </c>
      <c r="G16" s="26">
        <f t="shared" si="8"/>
        <v>1651887.0100000002</v>
      </c>
      <c r="H16" s="26">
        <f t="shared" si="8"/>
        <v>3258658</v>
      </c>
      <c r="I16" s="26">
        <f t="shared" si="8"/>
        <v>1810162</v>
      </c>
      <c r="J16" s="26">
        <f t="shared" si="8"/>
        <v>1539562</v>
      </c>
    </row>
    <row r="18" spans="1:10" x14ac:dyDescent="0.25">
      <c r="A18" s="29" t="s">
        <v>16</v>
      </c>
      <c r="B18" s="29"/>
      <c r="C18" s="29"/>
      <c r="D18" s="29"/>
      <c r="E18" s="29"/>
      <c r="F18" s="29"/>
      <c r="G18" s="29"/>
      <c r="H18" s="29"/>
      <c r="I18" s="29"/>
      <c r="J18" s="29"/>
    </row>
    <row r="19" spans="1:10" x14ac:dyDescent="0.25">
      <c r="A19" s="21"/>
      <c r="B19" s="21"/>
      <c r="C19" s="21"/>
      <c r="D19" s="22" t="s">
        <v>1</v>
      </c>
      <c r="E19" s="22" t="s">
        <v>2</v>
      </c>
      <c r="F19" s="22" t="s">
        <v>3</v>
      </c>
      <c r="G19" s="22" t="s">
        <v>4</v>
      </c>
      <c r="H19" s="22" t="s">
        <v>5</v>
      </c>
      <c r="I19" s="22" t="s">
        <v>6</v>
      </c>
      <c r="J19" s="22" t="s">
        <v>7</v>
      </c>
    </row>
    <row r="20" spans="1:10" x14ac:dyDescent="0.25">
      <c r="A20" s="30" t="s">
        <v>17</v>
      </c>
      <c r="B20" s="31">
        <v>41</v>
      </c>
      <c r="C20" s="31" t="s">
        <v>10</v>
      </c>
      <c r="D20" s="32">
        <f t="shared" ref="D20:J20" si="9">D34</f>
        <v>727434.99999999988</v>
      </c>
      <c r="E20" s="32">
        <f t="shared" si="9"/>
        <v>807107.67999999993</v>
      </c>
      <c r="F20" s="32">
        <f t="shared" si="9"/>
        <v>867552</v>
      </c>
      <c r="G20" s="32">
        <f t="shared" si="9"/>
        <v>917795.04999999993</v>
      </c>
      <c r="H20" s="32">
        <f t="shared" si="9"/>
        <v>970576</v>
      </c>
      <c r="I20" s="32">
        <f t="shared" si="9"/>
        <v>970576</v>
      </c>
      <c r="J20" s="32">
        <f t="shared" si="9"/>
        <v>970576</v>
      </c>
    </row>
    <row r="21" spans="1:10" x14ac:dyDescent="0.25">
      <c r="A21" s="27"/>
      <c r="B21" s="28"/>
      <c r="C21" s="33" t="s">
        <v>18</v>
      </c>
      <c r="D21" s="34">
        <f t="shared" ref="D21:J21" si="10">SUM(D20:D20)</f>
        <v>727434.99999999988</v>
      </c>
      <c r="E21" s="34">
        <f t="shared" si="10"/>
        <v>807107.67999999993</v>
      </c>
      <c r="F21" s="34">
        <f t="shared" si="10"/>
        <v>867552</v>
      </c>
      <c r="G21" s="34">
        <f t="shared" si="10"/>
        <v>917795.04999999993</v>
      </c>
      <c r="H21" s="34">
        <f t="shared" si="10"/>
        <v>970576</v>
      </c>
      <c r="I21" s="34">
        <f t="shared" si="10"/>
        <v>970576</v>
      </c>
      <c r="J21" s="34">
        <f t="shared" si="10"/>
        <v>970576</v>
      </c>
    </row>
    <row r="23" spans="1:10" x14ac:dyDescent="0.25">
      <c r="A23" s="35" t="s">
        <v>19</v>
      </c>
      <c r="B23" s="35"/>
      <c r="C23" s="35"/>
      <c r="D23" s="35"/>
      <c r="E23" s="35"/>
      <c r="F23" s="35"/>
      <c r="G23" s="35"/>
      <c r="H23" s="35"/>
      <c r="I23" s="35"/>
      <c r="J23" s="35"/>
    </row>
    <row r="24" spans="1:10" x14ac:dyDescent="0.25">
      <c r="A24" s="22" t="s">
        <v>20</v>
      </c>
      <c r="B24" s="22" t="s">
        <v>21</v>
      </c>
      <c r="C24" s="22" t="s">
        <v>22</v>
      </c>
      <c r="D24" s="22" t="s">
        <v>1</v>
      </c>
      <c r="E24" s="22" t="s">
        <v>2</v>
      </c>
      <c r="F24" s="22" t="s">
        <v>3</v>
      </c>
      <c r="G24" s="22" t="s">
        <v>4</v>
      </c>
      <c r="H24" s="22" t="s">
        <v>5</v>
      </c>
      <c r="I24" s="22" t="s">
        <v>6</v>
      </c>
      <c r="J24" s="22" t="s">
        <v>7</v>
      </c>
    </row>
    <row r="25" spans="1:10" x14ac:dyDescent="0.25">
      <c r="A25" s="13" t="s">
        <v>23</v>
      </c>
      <c r="B25" s="23">
        <v>111003</v>
      </c>
      <c r="C25" s="23" t="s">
        <v>24</v>
      </c>
      <c r="D25" s="24">
        <v>665548.61</v>
      </c>
      <c r="E25" s="24">
        <v>723616.41</v>
      </c>
      <c r="F25" s="24">
        <v>783927</v>
      </c>
      <c r="G25" s="24">
        <v>832585.1</v>
      </c>
      <c r="H25" s="24">
        <v>878696</v>
      </c>
      <c r="I25" s="24">
        <f t="shared" ref="I25:J33" si="11">H25</f>
        <v>878696</v>
      </c>
      <c r="J25" s="24">
        <f t="shared" si="11"/>
        <v>878696</v>
      </c>
    </row>
    <row r="26" spans="1:10" x14ac:dyDescent="0.25">
      <c r="A26" s="13"/>
      <c r="B26" s="23">
        <v>121001</v>
      </c>
      <c r="C26" s="23" t="s">
        <v>25</v>
      </c>
      <c r="D26" s="24">
        <v>19434.099999999999</v>
      </c>
      <c r="E26" s="24">
        <v>16830.32</v>
      </c>
      <c r="F26" s="24">
        <v>16800</v>
      </c>
      <c r="G26" s="24">
        <v>18996.12</v>
      </c>
      <c r="H26" s="24">
        <v>19500</v>
      </c>
      <c r="I26" s="24">
        <f t="shared" si="11"/>
        <v>19500</v>
      </c>
      <c r="J26" s="24">
        <f t="shared" si="11"/>
        <v>19500</v>
      </c>
    </row>
    <row r="27" spans="1:10" x14ac:dyDescent="0.25">
      <c r="A27" s="13"/>
      <c r="B27" s="23">
        <v>121002</v>
      </c>
      <c r="C27" s="23" t="s">
        <v>26</v>
      </c>
      <c r="D27" s="24">
        <v>17418.939999999999</v>
      </c>
      <c r="E27" s="24">
        <v>19766.12</v>
      </c>
      <c r="F27" s="24">
        <v>19800</v>
      </c>
      <c r="G27" s="24">
        <v>20327.07</v>
      </c>
      <c r="H27" s="24">
        <v>21000</v>
      </c>
      <c r="I27" s="24">
        <f t="shared" si="11"/>
        <v>21000</v>
      </c>
      <c r="J27" s="24">
        <f t="shared" si="11"/>
        <v>21000</v>
      </c>
    </row>
    <row r="28" spans="1:10" x14ac:dyDescent="0.25">
      <c r="A28" s="13"/>
      <c r="B28" s="23">
        <v>121003</v>
      </c>
      <c r="C28" s="23" t="s">
        <v>27</v>
      </c>
      <c r="D28" s="24">
        <v>108.83</v>
      </c>
      <c r="E28" s="24">
        <v>124.83</v>
      </c>
      <c r="F28" s="24">
        <v>125</v>
      </c>
      <c r="G28" s="24">
        <v>0</v>
      </c>
      <c r="H28" s="24">
        <v>100</v>
      </c>
      <c r="I28" s="24">
        <f t="shared" si="11"/>
        <v>100</v>
      </c>
      <c r="J28" s="24">
        <f t="shared" si="11"/>
        <v>100</v>
      </c>
    </row>
    <row r="29" spans="1:10" x14ac:dyDescent="0.25">
      <c r="A29" s="13"/>
      <c r="B29" s="23">
        <v>133001</v>
      </c>
      <c r="C29" s="23" t="s">
        <v>28</v>
      </c>
      <c r="D29" s="24">
        <v>2088.92</v>
      </c>
      <c r="E29" s="24">
        <v>2264</v>
      </c>
      <c r="F29" s="24">
        <v>2300</v>
      </c>
      <c r="G29" s="24">
        <v>2221.35</v>
      </c>
      <c r="H29" s="24">
        <v>2300</v>
      </c>
      <c r="I29" s="24">
        <f t="shared" si="11"/>
        <v>2300</v>
      </c>
      <c r="J29" s="24">
        <f t="shared" si="11"/>
        <v>2300</v>
      </c>
    </row>
    <row r="30" spans="1:10" x14ac:dyDescent="0.25">
      <c r="A30" s="13"/>
      <c r="B30" s="23">
        <v>133003</v>
      </c>
      <c r="C30" s="23" t="s">
        <v>29</v>
      </c>
      <c r="D30" s="24">
        <v>0</v>
      </c>
      <c r="E30" s="24">
        <v>0</v>
      </c>
      <c r="F30" s="24">
        <v>0</v>
      </c>
      <c r="G30" s="24">
        <v>30</v>
      </c>
      <c r="H30" s="24">
        <v>50</v>
      </c>
      <c r="I30" s="24">
        <f t="shared" si="11"/>
        <v>50</v>
      </c>
      <c r="J30" s="24">
        <f t="shared" si="11"/>
        <v>50</v>
      </c>
    </row>
    <row r="31" spans="1:10" x14ac:dyDescent="0.25">
      <c r="A31" s="13"/>
      <c r="B31" s="23">
        <v>133006</v>
      </c>
      <c r="C31" s="23" t="s">
        <v>30</v>
      </c>
      <c r="D31" s="24">
        <v>0</v>
      </c>
      <c r="E31" s="24">
        <v>0</v>
      </c>
      <c r="F31" s="24">
        <v>0</v>
      </c>
      <c r="G31" s="24">
        <v>219</v>
      </c>
      <c r="H31" s="24">
        <v>250</v>
      </c>
      <c r="I31" s="24">
        <f t="shared" si="11"/>
        <v>250</v>
      </c>
      <c r="J31" s="24">
        <f t="shared" si="11"/>
        <v>250</v>
      </c>
    </row>
    <row r="32" spans="1:10" x14ac:dyDescent="0.25">
      <c r="A32" s="13"/>
      <c r="B32" s="23">
        <v>133012</v>
      </c>
      <c r="C32" s="23" t="s">
        <v>31</v>
      </c>
      <c r="D32" s="24">
        <v>1029</v>
      </c>
      <c r="E32" s="24">
        <v>2145</v>
      </c>
      <c r="F32" s="24">
        <v>2200</v>
      </c>
      <c r="G32" s="24">
        <v>2108.7800000000002</v>
      </c>
      <c r="H32" s="24">
        <v>2150</v>
      </c>
      <c r="I32" s="24">
        <f t="shared" si="11"/>
        <v>2150</v>
      </c>
      <c r="J32" s="24">
        <f t="shared" si="11"/>
        <v>2150</v>
      </c>
    </row>
    <row r="33" spans="1:1024" x14ac:dyDescent="0.25">
      <c r="A33" s="13"/>
      <c r="B33" s="23">
        <v>133013</v>
      </c>
      <c r="C33" s="23" t="s">
        <v>32</v>
      </c>
      <c r="D33" s="24">
        <v>21806.6</v>
      </c>
      <c r="E33" s="24">
        <v>42361</v>
      </c>
      <c r="F33" s="24">
        <v>42400</v>
      </c>
      <c r="G33" s="24">
        <v>41307.629999999997</v>
      </c>
      <c r="H33" s="24">
        <f>42000+4530</f>
        <v>46530</v>
      </c>
      <c r="I33" s="24">
        <f t="shared" si="11"/>
        <v>46530</v>
      </c>
      <c r="J33" s="24">
        <f t="shared" si="11"/>
        <v>46530</v>
      </c>
    </row>
    <row r="34" spans="1:1024" s="37" customFormat="1" x14ac:dyDescent="0.25">
      <c r="A34" s="36"/>
      <c r="B34" s="25">
        <v>41</v>
      </c>
      <c r="C34" s="25" t="s">
        <v>10</v>
      </c>
      <c r="D34" s="26">
        <f t="shared" ref="D34:J34" si="12">SUM(D25:D33)</f>
        <v>727434.99999999988</v>
      </c>
      <c r="E34" s="26">
        <f t="shared" si="12"/>
        <v>807107.67999999993</v>
      </c>
      <c r="F34" s="26">
        <f t="shared" si="12"/>
        <v>867552</v>
      </c>
      <c r="G34" s="26">
        <f t="shared" si="12"/>
        <v>917795.04999999993</v>
      </c>
      <c r="H34" s="26">
        <f t="shared" si="12"/>
        <v>970576</v>
      </c>
      <c r="I34" s="26">
        <f t="shared" si="12"/>
        <v>970576</v>
      </c>
      <c r="J34" s="26">
        <f t="shared" si="12"/>
        <v>970576</v>
      </c>
      <c r="ALX34" s="18"/>
      <c r="ALY34" s="18"/>
      <c r="ALZ34" s="18"/>
      <c r="AMA34" s="18"/>
      <c r="AMB34" s="18"/>
      <c r="AMC34" s="18"/>
      <c r="AMD34" s="18"/>
      <c r="AME34" s="18"/>
      <c r="AMF34" s="18"/>
      <c r="AMG34" s="18"/>
      <c r="AMH34" s="18"/>
      <c r="AMI34" s="18"/>
      <c r="AMJ34" s="18"/>
    </row>
    <row r="36" spans="1:1024" x14ac:dyDescent="0.25">
      <c r="A36" s="29" t="s">
        <v>33</v>
      </c>
      <c r="B36" s="29"/>
      <c r="C36" s="29"/>
      <c r="D36" s="29"/>
      <c r="E36" s="29"/>
      <c r="F36" s="29"/>
      <c r="G36" s="29"/>
      <c r="H36" s="29"/>
      <c r="I36" s="29"/>
      <c r="J36" s="29"/>
    </row>
    <row r="37" spans="1:1024" x14ac:dyDescent="0.25">
      <c r="A37" s="21"/>
      <c r="B37" s="21"/>
      <c r="C37" s="21"/>
      <c r="D37" s="22" t="s">
        <v>1</v>
      </c>
      <c r="E37" s="22" t="s">
        <v>2</v>
      </c>
      <c r="F37" s="22" t="s">
        <v>3</v>
      </c>
      <c r="G37" s="22" t="s">
        <v>4</v>
      </c>
      <c r="H37" s="22" t="s">
        <v>5</v>
      </c>
      <c r="I37" s="22" t="s">
        <v>6</v>
      </c>
      <c r="J37" s="22" t="s">
        <v>7</v>
      </c>
    </row>
    <row r="38" spans="1:1024" x14ac:dyDescent="0.25">
      <c r="A38" s="30"/>
      <c r="B38" s="31">
        <v>41</v>
      </c>
      <c r="C38" s="31" t="s">
        <v>10</v>
      </c>
      <c r="D38" s="32">
        <f t="shared" ref="D38:J38" si="13">D49</f>
        <v>89213.609999999971</v>
      </c>
      <c r="E38" s="32">
        <f t="shared" si="13"/>
        <v>93536.969999999987</v>
      </c>
      <c r="F38" s="32">
        <f t="shared" si="13"/>
        <v>87447</v>
      </c>
      <c r="G38" s="32">
        <f t="shared" si="13"/>
        <v>104281.92000000001</v>
      </c>
      <c r="H38" s="32">
        <f t="shared" si="13"/>
        <v>86100</v>
      </c>
      <c r="I38" s="32">
        <f t="shared" si="13"/>
        <v>86100</v>
      </c>
      <c r="J38" s="32">
        <f t="shared" si="13"/>
        <v>86100</v>
      </c>
    </row>
    <row r="39" spans="1:1024" x14ac:dyDescent="0.25">
      <c r="A39" s="27"/>
      <c r="B39" s="28"/>
      <c r="C39" s="33" t="s">
        <v>18</v>
      </c>
      <c r="D39" s="34">
        <f t="shared" ref="D39:J39" si="14">SUM(D38:D38)</f>
        <v>89213.609999999971</v>
      </c>
      <c r="E39" s="34">
        <f t="shared" si="14"/>
        <v>93536.969999999987</v>
      </c>
      <c r="F39" s="34">
        <f t="shared" si="14"/>
        <v>87447</v>
      </c>
      <c r="G39" s="34">
        <f t="shared" si="14"/>
        <v>104281.92000000001</v>
      </c>
      <c r="H39" s="34">
        <f t="shared" si="14"/>
        <v>86100</v>
      </c>
      <c r="I39" s="34">
        <f t="shared" si="14"/>
        <v>86100</v>
      </c>
      <c r="J39" s="34">
        <f t="shared" si="14"/>
        <v>86100</v>
      </c>
    </row>
    <row r="41" spans="1:1024" x14ac:dyDescent="0.25">
      <c r="A41" s="35" t="s">
        <v>34</v>
      </c>
      <c r="B41" s="35"/>
      <c r="C41" s="35"/>
      <c r="D41" s="35"/>
      <c r="E41" s="35"/>
      <c r="F41" s="35"/>
      <c r="G41" s="35"/>
      <c r="H41" s="35"/>
      <c r="I41" s="35"/>
      <c r="J41" s="35"/>
    </row>
    <row r="42" spans="1:1024" x14ac:dyDescent="0.25">
      <c r="A42" s="22" t="s">
        <v>20</v>
      </c>
      <c r="B42" s="22" t="s">
        <v>21</v>
      </c>
      <c r="C42" s="22" t="s">
        <v>22</v>
      </c>
      <c r="D42" s="22" t="s">
        <v>1</v>
      </c>
      <c r="E42" s="22" t="s">
        <v>2</v>
      </c>
      <c r="F42" s="22" t="s">
        <v>3</v>
      </c>
      <c r="G42" s="22" t="s">
        <v>4</v>
      </c>
      <c r="H42" s="22" t="s">
        <v>5</v>
      </c>
      <c r="I42" s="22" t="s">
        <v>6</v>
      </c>
      <c r="J42" s="22" t="s">
        <v>7</v>
      </c>
    </row>
    <row r="43" spans="1:1024" x14ac:dyDescent="0.25">
      <c r="A43" s="12" t="s">
        <v>35</v>
      </c>
      <c r="B43" s="23">
        <v>210</v>
      </c>
      <c r="C43" s="23" t="s">
        <v>36</v>
      </c>
      <c r="D43" s="24">
        <v>10954.51</v>
      </c>
      <c r="E43" s="24">
        <v>9992.0499999999993</v>
      </c>
      <c r="F43" s="24">
        <v>1860</v>
      </c>
      <c r="G43" s="24">
        <v>6940.41</v>
      </c>
      <c r="H43" s="24">
        <v>6900</v>
      </c>
      <c r="I43" s="24">
        <f t="shared" ref="I43:J48" si="15">H43</f>
        <v>6900</v>
      </c>
      <c r="J43" s="24">
        <f t="shared" si="15"/>
        <v>6900</v>
      </c>
    </row>
    <row r="44" spans="1:1024" x14ac:dyDescent="0.25">
      <c r="A44" s="12"/>
      <c r="B44" s="23">
        <v>220</v>
      </c>
      <c r="C44" s="23" t="s">
        <v>37</v>
      </c>
      <c r="D44" s="24">
        <v>68764.509999999995</v>
      </c>
      <c r="E44" s="24">
        <v>63741.24</v>
      </c>
      <c r="F44" s="24">
        <v>63890</v>
      </c>
      <c r="G44" s="24">
        <v>65784.009999999995</v>
      </c>
      <c r="H44" s="24">
        <v>64500</v>
      </c>
      <c r="I44" s="24">
        <f t="shared" si="15"/>
        <v>64500</v>
      </c>
      <c r="J44" s="24">
        <f t="shared" si="15"/>
        <v>64500</v>
      </c>
    </row>
    <row r="45" spans="1:1024" x14ac:dyDescent="0.25">
      <c r="A45" s="12"/>
      <c r="B45" s="23">
        <v>230</v>
      </c>
      <c r="C45" s="23" t="s">
        <v>38</v>
      </c>
      <c r="D45" s="24">
        <v>1072.5</v>
      </c>
      <c r="E45" s="24">
        <v>280</v>
      </c>
      <c r="F45" s="24">
        <v>0</v>
      </c>
      <c r="G45" s="24">
        <v>0</v>
      </c>
      <c r="H45" s="24">
        <v>0</v>
      </c>
      <c r="I45" s="24">
        <f t="shared" si="15"/>
        <v>0</v>
      </c>
      <c r="J45" s="24">
        <f t="shared" si="15"/>
        <v>0</v>
      </c>
    </row>
    <row r="46" spans="1:1024" x14ac:dyDescent="0.25">
      <c r="A46" s="12"/>
      <c r="B46" s="23">
        <v>240</v>
      </c>
      <c r="C46" s="23" t="s">
        <v>39</v>
      </c>
      <c r="D46" s="24">
        <v>37.93</v>
      </c>
      <c r="E46" s="24">
        <v>20.59</v>
      </c>
      <c r="F46" s="24">
        <v>20</v>
      </c>
      <c r="G46" s="24">
        <v>701.63</v>
      </c>
      <c r="H46" s="24">
        <v>150</v>
      </c>
      <c r="I46" s="24">
        <f t="shared" si="15"/>
        <v>150</v>
      </c>
      <c r="J46" s="24">
        <f t="shared" si="15"/>
        <v>150</v>
      </c>
    </row>
    <row r="47" spans="1:1024" x14ac:dyDescent="0.25">
      <c r="A47" s="12"/>
      <c r="B47" s="23">
        <v>290</v>
      </c>
      <c r="C47" s="23" t="s">
        <v>40</v>
      </c>
      <c r="D47" s="24">
        <v>490.01</v>
      </c>
      <c r="E47" s="24">
        <v>11064.09</v>
      </c>
      <c r="F47" s="24">
        <v>8950</v>
      </c>
      <c r="G47" s="24">
        <v>19155.16</v>
      </c>
      <c r="H47" s="24">
        <v>8600</v>
      </c>
      <c r="I47" s="24">
        <f t="shared" si="15"/>
        <v>8600</v>
      </c>
      <c r="J47" s="24">
        <f t="shared" si="15"/>
        <v>8600</v>
      </c>
    </row>
    <row r="48" spans="1:1024" x14ac:dyDescent="0.25">
      <c r="A48" s="12"/>
      <c r="B48" s="23" t="s">
        <v>41</v>
      </c>
      <c r="C48" s="23" t="s">
        <v>42</v>
      </c>
      <c r="D48" s="24">
        <v>7894.15</v>
      </c>
      <c r="E48" s="24">
        <v>8439</v>
      </c>
      <c r="F48" s="24">
        <v>12727</v>
      </c>
      <c r="G48" s="38">
        <v>11700.71</v>
      </c>
      <c r="H48" s="38">
        <v>5950</v>
      </c>
      <c r="I48" s="24">
        <f t="shared" si="15"/>
        <v>5950</v>
      </c>
      <c r="J48" s="24">
        <f t="shared" si="15"/>
        <v>5950</v>
      </c>
    </row>
    <row r="49" spans="1:10" x14ac:dyDescent="0.25">
      <c r="A49" s="27"/>
      <c r="B49" s="39">
        <v>41</v>
      </c>
      <c r="C49" s="39" t="s">
        <v>10</v>
      </c>
      <c r="D49" s="40">
        <f t="shared" ref="D49:J49" si="16">SUM(D43:D48)</f>
        <v>89213.609999999971</v>
      </c>
      <c r="E49" s="40">
        <f t="shared" si="16"/>
        <v>93536.969999999987</v>
      </c>
      <c r="F49" s="40">
        <f t="shared" si="16"/>
        <v>87447</v>
      </c>
      <c r="G49" s="40">
        <f t="shared" si="16"/>
        <v>104281.92000000001</v>
      </c>
      <c r="H49" s="40">
        <f t="shared" si="16"/>
        <v>86100</v>
      </c>
      <c r="I49" s="40">
        <f t="shared" si="16"/>
        <v>86100</v>
      </c>
      <c r="J49" s="40">
        <f t="shared" si="16"/>
        <v>86100</v>
      </c>
    </row>
    <row r="51" spans="1:10" x14ac:dyDescent="0.25">
      <c r="B51" s="41" t="s">
        <v>43</v>
      </c>
      <c r="C51" s="27" t="s">
        <v>44</v>
      </c>
      <c r="D51" s="42">
        <v>10600.88</v>
      </c>
      <c r="E51" s="42">
        <v>9629</v>
      </c>
      <c r="F51" s="42">
        <v>1500</v>
      </c>
      <c r="G51" s="42">
        <v>6576.64</v>
      </c>
      <c r="H51" s="42">
        <v>6300</v>
      </c>
      <c r="I51" s="42">
        <f t="shared" ref="I51:J64" si="17">H51</f>
        <v>6300</v>
      </c>
      <c r="J51" s="43">
        <f t="shared" si="17"/>
        <v>6300</v>
      </c>
    </row>
    <row r="52" spans="1:10" x14ac:dyDescent="0.25">
      <c r="B52" s="44"/>
      <c r="C52" s="45" t="s">
        <v>45</v>
      </c>
      <c r="D52" s="46">
        <v>8219.5</v>
      </c>
      <c r="E52" s="46">
        <v>7544.18</v>
      </c>
      <c r="F52" s="46">
        <v>7500</v>
      </c>
      <c r="G52" s="46">
        <v>8783.2999999999993</v>
      </c>
      <c r="H52" s="46">
        <v>8900</v>
      </c>
      <c r="I52" s="46">
        <f t="shared" si="17"/>
        <v>8900</v>
      </c>
      <c r="J52" s="47">
        <f t="shared" si="17"/>
        <v>8900</v>
      </c>
    </row>
    <row r="53" spans="1:10" x14ac:dyDescent="0.25">
      <c r="B53" s="44"/>
      <c r="C53" s="45" t="s">
        <v>46</v>
      </c>
      <c r="D53" s="46">
        <v>2400</v>
      </c>
      <c r="E53" s="46">
        <v>3200</v>
      </c>
      <c r="F53" s="46">
        <v>3200</v>
      </c>
      <c r="G53" s="46">
        <v>3200</v>
      </c>
      <c r="H53" s="46">
        <v>3200</v>
      </c>
      <c r="I53" s="46">
        <f t="shared" si="17"/>
        <v>3200</v>
      </c>
      <c r="J53" s="47">
        <f t="shared" si="17"/>
        <v>3200</v>
      </c>
    </row>
    <row r="54" spans="1:10" x14ac:dyDescent="0.25">
      <c r="B54" s="44"/>
      <c r="C54" s="45" t="s">
        <v>47</v>
      </c>
      <c r="D54" s="46">
        <v>15149.35</v>
      </c>
      <c r="E54" s="46">
        <v>20772.490000000002</v>
      </c>
      <c r="F54" s="46">
        <v>21000</v>
      </c>
      <c r="G54" s="46">
        <v>17460.64</v>
      </c>
      <c r="H54" s="46">
        <v>18000</v>
      </c>
      <c r="I54" s="46">
        <f t="shared" si="17"/>
        <v>18000</v>
      </c>
      <c r="J54" s="47">
        <f t="shared" si="17"/>
        <v>18000</v>
      </c>
    </row>
    <row r="55" spans="1:10" x14ac:dyDescent="0.25">
      <c r="B55" s="44"/>
      <c r="C55" s="45" t="s">
        <v>48</v>
      </c>
      <c r="D55" s="46">
        <v>3437.59</v>
      </c>
      <c r="E55" s="46">
        <v>1358.39</v>
      </c>
      <c r="F55" s="46">
        <v>1360</v>
      </c>
      <c r="G55" s="46">
        <v>503.8</v>
      </c>
      <c r="H55" s="46">
        <v>0</v>
      </c>
      <c r="I55" s="46">
        <f t="shared" si="17"/>
        <v>0</v>
      </c>
      <c r="J55" s="47">
        <f t="shared" si="17"/>
        <v>0</v>
      </c>
    </row>
    <row r="56" spans="1:10" x14ac:dyDescent="0.25">
      <c r="B56" s="44"/>
      <c r="C56" s="45" t="s">
        <v>49</v>
      </c>
      <c r="D56" s="46">
        <v>1607.13</v>
      </c>
      <c r="E56" s="46">
        <v>99.86</v>
      </c>
      <c r="F56" s="46">
        <v>100</v>
      </c>
      <c r="G56" s="46">
        <v>40.33</v>
      </c>
      <c r="H56" s="46">
        <v>45</v>
      </c>
      <c r="I56" s="46">
        <f t="shared" si="17"/>
        <v>45</v>
      </c>
      <c r="J56" s="47">
        <f t="shared" si="17"/>
        <v>45</v>
      </c>
    </row>
    <row r="57" spans="1:10" x14ac:dyDescent="0.25">
      <c r="B57" s="44"/>
      <c r="C57" s="45" t="s">
        <v>50</v>
      </c>
      <c r="D57" s="48">
        <v>2162</v>
      </c>
      <c r="E57" s="46">
        <v>0</v>
      </c>
      <c r="F57" s="46">
        <v>0</v>
      </c>
      <c r="G57" s="46">
        <v>1269</v>
      </c>
      <c r="H57" s="46">
        <v>0</v>
      </c>
      <c r="I57" s="46">
        <f t="shared" si="17"/>
        <v>0</v>
      </c>
      <c r="J57" s="47">
        <f t="shared" si="17"/>
        <v>0</v>
      </c>
    </row>
    <row r="58" spans="1:10" x14ac:dyDescent="0.25">
      <c r="B58" s="44"/>
      <c r="C58" s="45" t="s">
        <v>51</v>
      </c>
      <c r="D58" s="48">
        <v>18499.98</v>
      </c>
      <c r="E58" s="48">
        <v>19583.23</v>
      </c>
      <c r="F58" s="48">
        <v>19600</v>
      </c>
      <c r="G58" s="48">
        <v>19749.61</v>
      </c>
      <c r="H58" s="48">
        <v>18000</v>
      </c>
      <c r="I58" s="46">
        <f t="shared" si="17"/>
        <v>18000</v>
      </c>
      <c r="J58" s="47">
        <f t="shared" si="17"/>
        <v>18000</v>
      </c>
    </row>
    <row r="59" spans="1:10" x14ac:dyDescent="0.25">
      <c r="B59" s="44"/>
      <c r="C59" s="45" t="s">
        <v>52</v>
      </c>
      <c r="D59" s="48">
        <v>5342.44</v>
      </c>
      <c r="E59" s="46">
        <v>2245.4499999999998</v>
      </c>
      <c r="F59" s="48">
        <v>2200</v>
      </c>
      <c r="G59" s="48">
        <v>5280</v>
      </c>
      <c r="H59" s="48">
        <v>5000</v>
      </c>
      <c r="I59" s="46">
        <f t="shared" si="17"/>
        <v>5000</v>
      </c>
      <c r="J59" s="47">
        <f t="shared" si="17"/>
        <v>5000</v>
      </c>
    </row>
    <row r="60" spans="1:10" x14ac:dyDescent="0.25">
      <c r="B60" s="44"/>
      <c r="C60" s="45" t="s">
        <v>53</v>
      </c>
      <c r="D60" s="48">
        <v>3246</v>
      </c>
      <c r="E60" s="48">
        <v>2786</v>
      </c>
      <c r="F60" s="48">
        <v>2800</v>
      </c>
      <c r="G60" s="48">
        <v>3339</v>
      </c>
      <c r="H60" s="48">
        <v>4400</v>
      </c>
      <c r="I60" s="46">
        <f t="shared" si="17"/>
        <v>4400</v>
      </c>
      <c r="J60" s="47">
        <f t="shared" si="17"/>
        <v>4400</v>
      </c>
    </row>
    <row r="61" spans="1:10" x14ac:dyDescent="0.25">
      <c r="B61" s="44"/>
      <c r="C61" s="45" t="s">
        <v>54</v>
      </c>
      <c r="D61" s="48">
        <v>1289.2</v>
      </c>
      <c r="E61" s="48">
        <v>1624</v>
      </c>
      <c r="F61" s="48">
        <v>1600</v>
      </c>
      <c r="G61" s="48">
        <v>391</v>
      </c>
      <c r="H61" s="48">
        <v>400</v>
      </c>
      <c r="I61" s="46">
        <f t="shared" si="17"/>
        <v>400</v>
      </c>
      <c r="J61" s="47">
        <f t="shared" si="17"/>
        <v>400</v>
      </c>
    </row>
    <row r="62" spans="1:10" x14ac:dyDescent="0.25">
      <c r="B62" s="44"/>
      <c r="C62" s="45" t="s">
        <v>55</v>
      </c>
      <c r="D62" s="48">
        <v>2460</v>
      </c>
      <c r="E62" s="48">
        <v>600</v>
      </c>
      <c r="F62" s="48">
        <v>600</v>
      </c>
      <c r="G62" s="48">
        <v>0</v>
      </c>
      <c r="H62" s="48">
        <v>0</v>
      </c>
      <c r="I62" s="46">
        <f t="shared" si="17"/>
        <v>0</v>
      </c>
      <c r="J62" s="47">
        <f t="shared" si="17"/>
        <v>0</v>
      </c>
    </row>
    <row r="63" spans="1:10" x14ac:dyDescent="0.25">
      <c r="B63" s="44"/>
      <c r="C63" s="45" t="s">
        <v>56</v>
      </c>
      <c r="D63" s="48">
        <v>0</v>
      </c>
      <c r="E63" s="46">
        <v>1997.99</v>
      </c>
      <c r="F63" s="46">
        <v>0</v>
      </c>
      <c r="G63" s="46">
        <v>5768.62</v>
      </c>
      <c r="H63" s="46">
        <v>0</v>
      </c>
      <c r="I63" s="46">
        <f t="shared" si="17"/>
        <v>0</v>
      </c>
      <c r="J63" s="47">
        <f t="shared" si="17"/>
        <v>0</v>
      </c>
    </row>
    <row r="64" spans="1:10" x14ac:dyDescent="0.25">
      <c r="B64" s="49"/>
      <c r="C64" s="50" t="s">
        <v>57</v>
      </c>
      <c r="D64" s="51">
        <v>0</v>
      </c>
      <c r="E64" s="51">
        <v>8820.15</v>
      </c>
      <c r="F64" s="51">
        <v>8800</v>
      </c>
      <c r="G64" s="51">
        <v>6400.84</v>
      </c>
      <c r="H64" s="51">
        <v>8600</v>
      </c>
      <c r="I64" s="51">
        <f t="shared" si="17"/>
        <v>8600</v>
      </c>
      <c r="J64" s="52">
        <f t="shared" si="17"/>
        <v>8600</v>
      </c>
    </row>
    <row r="66" spans="1:10" x14ac:dyDescent="0.25">
      <c r="A66" s="29" t="s">
        <v>58</v>
      </c>
      <c r="B66" s="29"/>
      <c r="C66" s="29"/>
      <c r="D66" s="29"/>
      <c r="E66" s="29"/>
      <c r="F66" s="29"/>
      <c r="G66" s="29"/>
      <c r="H66" s="29"/>
      <c r="I66" s="29"/>
      <c r="J66" s="29"/>
    </row>
    <row r="67" spans="1:10" x14ac:dyDescent="0.25">
      <c r="A67" s="21"/>
      <c r="B67" s="21"/>
      <c r="C67" s="21"/>
      <c r="D67" s="22" t="s">
        <v>1</v>
      </c>
      <c r="E67" s="22" t="s">
        <v>2</v>
      </c>
      <c r="F67" s="22" t="s">
        <v>3</v>
      </c>
      <c r="G67" s="22" t="s">
        <v>4</v>
      </c>
      <c r="H67" s="22" t="s">
        <v>5</v>
      </c>
      <c r="I67" s="22" t="s">
        <v>6</v>
      </c>
      <c r="J67" s="22" t="s">
        <v>7</v>
      </c>
    </row>
    <row r="68" spans="1:10" x14ac:dyDescent="0.25">
      <c r="A68" s="30" t="s">
        <v>8</v>
      </c>
      <c r="B68" s="31">
        <v>111</v>
      </c>
      <c r="C68" s="31" t="s">
        <v>9</v>
      </c>
      <c r="D68" s="32">
        <f t="shared" ref="D68:J68" si="18">D100</f>
        <v>474738.5199999999</v>
      </c>
      <c r="E68" s="32">
        <f t="shared" si="18"/>
        <v>486713.67</v>
      </c>
      <c r="F68" s="53">
        <f t="shared" si="18"/>
        <v>513430</v>
      </c>
      <c r="G68" s="53">
        <f t="shared" si="18"/>
        <v>565026.47000000009</v>
      </c>
      <c r="H68" s="53">
        <f t="shared" si="18"/>
        <v>1994742</v>
      </c>
      <c r="I68" s="53">
        <f t="shared" si="18"/>
        <v>753486</v>
      </c>
      <c r="J68" s="53">
        <f t="shared" si="18"/>
        <v>482886</v>
      </c>
    </row>
    <row r="69" spans="1:10" x14ac:dyDescent="0.25">
      <c r="A69" s="27"/>
      <c r="B69" s="28"/>
      <c r="C69" s="33" t="s">
        <v>18</v>
      </c>
      <c r="D69" s="34">
        <f t="shared" ref="D69:J69" si="19">SUM(D68:D68)</f>
        <v>474738.5199999999</v>
      </c>
      <c r="E69" s="34">
        <f t="shared" si="19"/>
        <v>486713.67</v>
      </c>
      <c r="F69" s="34">
        <f t="shared" si="19"/>
        <v>513430</v>
      </c>
      <c r="G69" s="34">
        <f t="shared" si="19"/>
        <v>565026.47000000009</v>
      </c>
      <c r="H69" s="34">
        <f t="shared" si="19"/>
        <v>1994742</v>
      </c>
      <c r="I69" s="34">
        <f t="shared" si="19"/>
        <v>753486</v>
      </c>
      <c r="J69" s="34">
        <f t="shared" si="19"/>
        <v>482886</v>
      </c>
    </row>
    <row r="71" spans="1:10" x14ac:dyDescent="0.25">
      <c r="A71" s="54" t="s">
        <v>59</v>
      </c>
      <c r="B71" s="54"/>
      <c r="C71" s="54"/>
      <c r="D71" s="54"/>
      <c r="E71" s="54"/>
      <c r="F71" s="54"/>
      <c r="G71" s="54"/>
      <c r="H71" s="54"/>
      <c r="I71" s="54"/>
      <c r="J71" s="54"/>
    </row>
    <row r="72" spans="1:10" x14ac:dyDescent="0.25">
      <c r="A72" s="22" t="s">
        <v>20</v>
      </c>
      <c r="B72" s="22" t="s">
        <v>21</v>
      </c>
      <c r="C72" s="22" t="s">
        <v>22</v>
      </c>
      <c r="D72" s="22" t="s">
        <v>1</v>
      </c>
      <c r="E72" s="22" t="s">
        <v>2</v>
      </c>
      <c r="F72" s="22" t="s">
        <v>3</v>
      </c>
      <c r="G72" s="22" t="s">
        <v>4</v>
      </c>
      <c r="H72" s="22" t="s">
        <v>5</v>
      </c>
      <c r="I72" s="22" t="s">
        <v>6</v>
      </c>
      <c r="J72" s="22" t="s">
        <v>7</v>
      </c>
    </row>
    <row r="73" spans="1:10" x14ac:dyDescent="0.25">
      <c r="A73" s="11" t="s">
        <v>35</v>
      </c>
      <c r="B73" s="23">
        <v>311</v>
      </c>
      <c r="C73" s="23" t="s">
        <v>60</v>
      </c>
      <c r="D73" s="24">
        <v>1620.36</v>
      </c>
      <c r="E73" s="24">
        <v>1317.12</v>
      </c>
      <c r="F73" s="55">
        <v>0</v>
      </c>
      <c r="G73" s="55">
        <v>700</v>
      </c>
      <c r="H73" s="56">
        <v>700</v>
      </c>
      <c r="I73" s="55">
        <v>0</v>
      </c>
      <c r="J73" s="55">
        <f t="shared" ref="J73:J88" si="20">I73</f>
        <v>0</v>
      </c>
    </row>
    <row r="74" spans="1:10" x14ac:dyDescent="0.25">
      <c r="A74" s="11"/>
      <c r="B74" s="23">
        <v>312001</v>
      </c>
      <c r="C74" s="23" t="s">
        <v>61</v>
      </c>
      <c r="D74" s="24">
        <v>350826</v>
      </c>
      <c r="E74" s="24">
        <f>373433+57.39+792</f>
        <v>374282.39</v>
      </c>
      <c r="F74" s="55">
        <v>394085</v>
      </c>
      <c r="G74" s="55">
        <v>391633</v>
      </c>
      <c r="H74" s="56">
        <f>398932+963</f>
        <v>399895</v>
      </c>
      <c r="I74" s="55">
        <f t="shared" ref="I74:I92" si="21">H74</f>
        <v>399895</v>
      </c>
      <c r="J74" s="55">
        <f t="shared" si="20"/>
        <v>399895</v>
      </c>
    </row>
    <row r="75" spans="1:10" x14ac:dyDescent="0.25">
      <c r="A75" s="11"/>
      <c r="B75" s="23">
        <v>312001</v>
      </c>
      <c r="C75" s="23" t="s">
        <v>62</v>
      </c>
      <c r="D75" s="24">
        <v>3553</v>
      </c>
      <c r="E75" s="24">
        <v>5045</v>
      </c>
      <c r="F75" s="55">
        <v>11510</v>
      </c>
      <c r="G75" s="55">
        <v>1889</v>
      </c>
      <c r="H75" s="56">
        <v>0</v>
      </c>
      <c r="I75" s="55">
        <f t="shared" si="21"/>
        <v>0</v>
      </c>
      <c r="J75" s="55">
        <f t="shared" si="20"/>
        <v>0</v>
      </c>
    </row>
    <row r="76" spans="1:10" x14ac:dyDescent="0.25">
      <c r="A76" s="11"/>
      <c r="B76" s="23">
        <v>312001</v>
      </c>
      <c r="C76" s="23" t="s">
        <v>63</v>
      </c>
      <c r="D76" s="24">
        <v>1300</v>
      </c>
      <c r="E76" s="24">
        <v>3412.5</v>
      </c>
      <c r="F76" s="55">
        <v>4095</v>
      </c>
      <c r="G76" s="55">
        <v>4346</v>
      </c>
      <c r="H76" s="56">
        <v>4610</v>
      </c>
      <c r="I76" s="55">
        <f t="shared" si="21"/>
        <v>4610</v>
      </c>
      <c r="J76" s="55">
        <f t="shared" si="20"/>
        <v>4610</v>
      </c>
    </row>
    <row r="77" spans="1:10" x14ac:dyDescent="0.25">
      <c r="A77" s="11"/>
      <c r="B77" s="23">
        <v>312001</v>
      </c>
      <c r="C77" s="23" t="s">
        <v>64</v>
      </c>
      <c r="D77" s="24">
        <v>4507</v>
      </c>
      <c r="E77" s="24">
        <v>4992</v>
      </c>
      <c r="F77" s="55">
        <v>5640</v>
      </c>
      <c r="G77" s="55">
        <v>5803</v>
      </c>
      <c r="H77" s="56">
        <v>5830</v>
      </c>
      <c r="I77" s="55">
        <f t="shared" si="21"/>
        <v>5830</v>
      </c>
      <c r="J77" s="55">
        <f t="shared" si="20"/>
        <v>5830</v>
      </c>
    </row>
    <row r="78" spans="1:10" x14ac:dyDescent="0.25">
      <c r="A78" s="11"/>
      <c r="B78" s="23">
        <v>312001</v>
      </c>
      <c r="C78" s="23" t="s">
        <v>65</v>
      </c>
      <c r="D78" s="24">
        <v>6280</v>
      </c>
      <c r="E78" s="24">
        <v>6089</v>
      </c>
      <c r="F78" s="55">
        <v>6089</v>
      </c>
      <c r="G78" s="55">
        <v>3312</v>
      </c>
      <c r="H78" s="56">
        <v>3500</v>
      </c>
      <c r="I78" s="55">
        <f t="shared" si="21"/>
        <v>3500</v>
      </c>
      <c r="J78" s="55">
        <f t="shared" si="20"/>
        <v>3500</v>
      </c>
    </row>
    <row r="79" spans="1:10" x14ac:dyDescent="0.25">
      <c r="A79" s="11"/>
      <c r="B79" s="23">
        <v>312001</v>
      </c>
      <c r="C79" s="23" t="s">
        <v>66</v>
      </c>
      <c r="D79" s="24">
        <v>1162</v>
      </c>
      <c r="E79" s="24">
        <v>1029.2</v>
      </c>
      <c r="F79" s="55">
        <v>1000</v>
      </c>
      <c r="G79" s="55">
        <v>564.4</v>
      </c>
      <c r="H79" s="56">
        <v>560</v>
      </c>
      <c r="I79" s="55">
        <f t="shared" si="21"/>
        <v>560</v>
      </c>
      <c r="J79" s="55">
        <f t="shared" si="20"/>
        <v>560</v>
      </c>
    </row>
    <row r="80" spans="1:10" x14ac:dyDescent="0.25">
      <c r="A80" s="11"/>
      <c r="B80" s="23">
        <v>312001</v>
      </c>
      <c r="C80" s="23" t="s">
        <v>67</v>
      </c>
      <c r="D80" s="24">
        <v>0</v>
      </c>
      <c r="E80" s="24">
        <v>0</v>
      </c>
      <c r="F80" s="55">
        <v>0</v>
      </c>
      <c r="G80" s="55">
        <v>11732</v>
      </c>
      <c r="H80" s="56">
        <f>5250+3500+1000</f>
        <v>9750</v>
      </c>
      <c r="I80" s="55">
        <f t="shared" si="21"/>
        <v>9750</v>
      </c>
      <c r="J80" s="55">
        <f t="shared" si="20"/>
        <v>9750</v>
      </c>
    </row>
    <row r="81" spans="1:10" x14ac:dyDescent="0.25">
      <c r="A81" s="11"/>
      <c r="B81" s="23">
        <v>312001</v>
      </c>
      <c r="C81" s="23" t="s">
        <v>68</v>
      </c>
      <c r="D81" s="24">
        <v>4937</v>
      </c>
      <c r="E81" s="24">
        <v>5045</v>
      </c>
      <c r="F81" s="55">
        <v>5045</v>
      </c>
      <c r="G81" s="55">
        <v>4774</v>
      </c>
      <c r="H81" s="56">
        <v>4232</v>
      </c>
      <c r="I81" s="55">
        <f t="shared" si="21"/>
        <v>4232</v>
      </c>
      <c r="J81" s="55">
        <f t="shared" si="20"/>
        <v>4232</v>
      </c>
    </row>
    <row r="82" spans="1:10" x14ac:dyDescent="0.25">
      <c r="A82" s="11"/>
      <c r="B82" s="23">
        <v>312001</v>
      </c>
      <c r="C82" s="23" t="s">
        <v>69</v>
      </c>
      <c r="D82" s="24">
        <v>1745</v>
      </c>
      <c r="E82" s="24">
        <v>1350</v>
      </c>
      <c r="F82" s="55">
        <v>720</v>
      </c>
      <c r="G82" s="55">
        <v>781</v>
      </c>
      <c r="H82" s="56">
        <f>G82</f>
        <v>781</v>
      </c>
      <c r="I82" s="55">
        <f t="shared" si="21"/>
        <v>781</v>
      </c>
      <c r="J82" s="55">
        <f t="shared" si="20"/>
        <v>781</v>
      </c>
    </row>
    <row r="83" spans="1:10" x14ac:dyDescent="0.25">
      <c r="A83" s="11"/>
      <c r="B83" s="23">
        <v>312001</v>
      </c>
      <c r="C83" s="23" t="s">
        <v>70</v>
      </c>
      <c r="D83" s="24">
        <v>1620.36</v>
      </c>
      <c r="E83" s="24">
        <v>1317.12</v>
      </c>
      <c r="F83" s="55">
        <v>1300</v>
      </c>
      <c r="G83" s="55">
        <v>540.96</v>
      </c>
      <c r="H83" s="56">
        <v>500</v>
      </c>
      <c r="I83" s="55">
        <f t="shared" si="21"/>
        <v>500</v>
      </c>
      <c r="J83" s="55">
        <f t="shared" si="20"/>
        <v>500</v>
      </c>
    </row>
    <row r="84" spans="1:10" x14ac:dyDescent="0.25">
      <c r="A84" s="11"/>
      <c r="B84" s="23">
        <v>312001</v>
      </c>
      <c r="C84" s="23" t="s">
        <v>71</v>
      </c>
      <c r="D84" s="24">
        <v>2945.31</v>
      </c>
      <c r="E84" s="24">
        <v>2936.01</v>
      </c>
      <c r="F84" s="55">
        <v>2936</v>
      </c>
      <c r="G84" s="55">
        <v>2935.08</v>
      </c>
      <c r="H84" s="56">
        <v>2935</v>
      </c>
      <c r="I84" s="55">
        <f t="shared" si="21"/>
        <v>2935</v>
      </c>
      <c r="J84" s="55">
        <f t="shared" si="20"/>
        <v>2935</v>
      </c>
    </row>
    <row r="85" spans="1:10" x14ac:dyDescent="0.25">
      <c r="A85" s="11"/>
      <c r="B85" s="23">
        <v>312001</v>
      </c>
      <c r="C85" s="23" t="s">
        <v>72</v>
      </c>
      <c r="D85" s="24">
        <v>136.81</v>
      </c>
      <c r="E85" s="24">
        <v>136.38</v>
      </c>
      <c r="F85" s="55">
        <v>136</v>
      </c>
      <c r="G85" s="55">
        <v>136.34</v>
      </c>
      <c r="H85" s="56">
        <v>136</v>
      </c>
      <c r="I85" s="55">
        <f t="shared" si="21"/>
        <v>136</v>
      </c>
      <c r="J85" s="55">
        <f t="shared" si="20"/>
        <v>136</v>
      </c>
    </row>
    <row r="86" spans="1:10" x14ac:dyDescent="0.25">
      <c r="A86" s="11"/>
      <c r="B86" s="23">
        <v>312001</v>
      </c>
      <c r="C86" s="23" t="s">
        <v>73</v>
      </c>
      <c r="D86" s="24">
        <v>296.81</v>
      </c>
      <c r="E86" s="24">
        <v>295.58</v>
      </c>
      <c r="F86" s="55">
        <v>295</v>
      </c>
      <c r="G86" s="55">
        <v>295.2</v>
      </c>
      <c r="H86" s="56">
        <v>295</v>
      </c>
      <c r="I86" s="55">
        <f t="shared" si="21"/>
        <v>295</v>
      </c>
      <c r="J86" s="55">
        <f t="shared" si="20"/>
        <v>295</v>
      </c>
    </row>
    <row r="87" spans="1:10" x14ac:dyDescent="0.25">
      <c r="A87" s="11"/>
      <c r="B87" s="23">
        <v>312001</v>
      </c>
      <c r="C87" s="23" t="s">
        <v>74</v>
      </c>
      <c r="D87" s="24">
        <v>3905.31</v>
      </c>
      <c r="E87" s="24">
        <v>4000.79</v>
      </c>
      <c r="F87" s="55">
        <v>4000</v>
      </c>
      <c r="G87" s="55">
        <v>4103.17</v>
      </c>
      <c r="H87" s="56">
        <v>4039</v>
      </c>
      <c r="I87" s="55">
        <f t="shared" si="21"/>
        <v>4039</v>
      </c>
      <c r="J87" s="55">
        <f t="shared" si="20"/>
        <v>4039</v>
      </c>
    </row>
    <row r="88" spans="1:10" x14ac:dyDescent="0.25">
      <c r="A88" s="11"/>
      <c r="B88" s="23">
        <v>312001</v>
      </c>
      <c r="C88" s="23" t="s">
        <v>75</v>
      </c>
      <c r="D88" s="24">
        <v>1045.1099999999999</v>
      </c>
      <c r="E88" s="24">
        <v>1041.81</v>
      </c>
      <c r="F88" s="55">
        <v>1042</v>
      </c>
      <c r="G88" s="55">
        <v>1061.68</v>
      </c>
      <c r="H88" s="56">
        <f>1041+172</f>
        <v>1213</v>
      </c>
      <c r="I88" s="55">
        <f t="shared" si="21"/>
        <v>1213</v>
      </c>
      <c r="J88" s="55">
        <f t="shared" si="20"/>
        <v>1213</v>
      </c>
    </row>
    <row r="89" spans="1:10" x14ac:dyDescent="0.25">
      <c r="A89" s="11"/>
      <c r="B89" s="23">
        <v>312001</v>
      </c>
      <c r="C89" s="23" t="s">
        <v>76</v>
      </c>
      <c r="D89" s="24">
        <v>7289.6</v>
      </c>
      <c r="E89" s="24">
        <v>1280</v>
      </c>
      <c r="F89" s="55">
        <v>2000</v>
      </c>
      <c r="G89" s="55">
        <v>1803.52</v>
      </c>
      <c r="H89" s="56">
        <v>2000</v>
      </c>
      <c r="I89" s="55">
        <f t="shared" si="21"/>
        <v>2000</v>
      </c>
      <c r="J89" s="55">
        <v>6000</v>
      </c>
    </row>
    <row r="90" spans="1:10" x14ac:dyDescent="0.25">
      <c r="A90" s="11"/>
      <c r="B90" s="23">
        <v>312001</v>
      </c>
      <c r="C90" s="23" t="s">
        <v>77</v>
      </c>
      <c r="D90" s="24">
        <v>241.2</v>
      </c>
      <c r="E90" s="24">
        <v>241.23</v>
      </c>
      <c r="F90" s="55">
        <v>241</v>
      </c>
      <c r="G90" s="55">
        <v>210.77</v>
      </c>
      <c r="H90" s="56">
        <v>210</v>
      </c>
      <c r="I90" s="55">
        <f t="shared" si="21"/>
        <v>210</v>
      </c>
      <c r="J90" s="55">
        <f>I90</f>
        <v>210</v>
      </c>
    </row>
    <row r="91" spans="1:10" x14ac:dyDescent="0.25">
      <c r="A91" s="11"/>
      <c r="B91" s="23">
        <v>312001</v>
      </c>
      <c r="C91" s="23" t="s">
        <v>78</v>
      </c>
      <c r="D91" s="24">
        <v>38400</v>
      </c>
      <c r="E91" s="24">
        <v>38400</v>
      </c>
      <c r="F91" s="55">
        <v>38400</v>
      </c>
      <c r="G91" s="55">
        <v>38400</v>
      </c>
      <c r="H91" s="56">
        <f>G91</f>
        <v>38400</v>
      </c>
      <c r="I91" s="55">
        <f t="shared" si="21"/>
        <v>38400</v>
      </c>
      <c r="J91" s="55">
        <f>I91</f>
        <v>38400</v>
      </c>
    </row>
    <row r="92" spans="1:10" x14ac:dyDescent="0.25">
      <c r="A92" s="11"/>
      <c r="B92" s="23">
        <v>312001</v>
      </c>
      <c r="C92" s="23" t="s">
        <v>79</v>
      </c>
      <c r="D92" s="24">
        <v>0</v>
      </c>
      <c r="E92" s="24">
        <v>0</v>
      </c>
      <c r="F92" s="55">
        <v>8568</v>
      </c>
      <c r="G92" s="55">
        <v>0</v>
      </c>
      <c r="H92" s="56">
        <f>G92</f>
        <v>0</v>
      </c>
      <c r="I92" s="55">
        <f t="shared" si="21"/>
        <v>0</v>
      </c>
      <c r="J92" s="55">
        <f>I92</f>
        <v>0</v>
      </c>
    </row>
    <row r="93" spans="1:10" x14ac:dyDescent="0.25">
      <c r="A93" s="11"/>
      <c r="B93" s="23">
        <v>312001</v>
      </c>
      <c r="C93" s="23" t="s">
        <v>80</v>
      </c>
      <c r="D93" s="24">
        <v>17749.349999999999</v>
      </c>
      <c r="E93" s="24">
        <v>25239.919999999998</v>
      </c>
      <c r="F93" s="55">
        <v>26328</v>
      </c>
      <c r="G93" s="55">
        <f>5851+34154+0.35</f>
        <v>40005.35</v>
      </c>
      <c r="H93" s="56">
        <v>9856</v>
      </c>
      <c r="I93" s="55">
        <v>0</v>
      </c>
      <c r="J93" s="55">
        <f>I93</f>
        <v>0</v>
      </c>
    </row>
    <row r="94" spans="1:10" x14ac:dyDescent="0.25">
      <c r="A94" s="11"/>
      <c r="B94" s="23">
        <v>312001</v>
      </c>
      <c r="C94" s="23" t="s">
        <v>81</v>
      </c>
      <c r="D94" s="24">
        <v>16798.66</v>
      </c>
      <c r="E94" s="24">
        <v>10579.74</v>
      </c>
      <c r="F94" s="55"/>
      <c r="G94" s="55"/>
      <c r="H94" s="56"/>
      <c r="I94" s="55"/>
      <c r="J94" s="55"/>
    </row>
    <row r="95" spans="1:10" x14ac:dyDescent="0.25">
      <c r="A95" s="11"/>
      <c r="B95" s="23">
        <v>322001</v>
      </c>
      <c r="C95" s="23" t="s">
        <v>82</v>
      </c>
      <c r="D95" s="24"/>
      <c r="E95" s="24"/>
      <c r="F95" s="55"/>
      <c r="G95" s="55"/>
      <c r="H95" s="56">
        <v>888000</v>
      </c>
      <c r="I95" s="55"/>
      <c r="J95" s="55"/>
    </row>
    <row r="96" spans="1:10" x14ac:dyDescent="0.25">
      <c r="A96" s="11"/>
      <c r="B96" s="23">
        <v>322001</v>
      </c>
      <c r="C96" s="23" t="s">
        <v>83</v>
      </c>
      <c r="D96" s="24"/>
      <c r="E96" s="24"/>
      <c r="F96" s="55"/>
      <c r="G96" s="55"/>
      <c r="H96" s="56">
        <v>417300</v>
      </c>
      <c r="I96" s="55"/>
      <c r="J96" s="55"/>
    </row>
    <row r="97" spans="1:10" x14ac:dyDescent="0.25">
      <c r="A97" s="11"/>
      <c r="B97" s="23">
        <v>322001</v>
      </c>
      <c r="C97" s="23" t="s">
        <v>84</v>
      </c>
      <c r="D97" s="24"/>
      <c r="E97" s="24"/>
      <c r="F97" s="55"/>
      <c r="G97" s="55"/>
      <c r="H97" s="56"/>
      <c r="I97" s="56">
        <v>274600</v>
      </c>
      <c r="J97" s="55"/>
    </row>
    <row r="98" spans="1:10" x14ac:dyDescent="0.25">
      <c r="A98" s="11"/>
      <c r="B98" s="23">
        <v>322001</v>
      </c>
      <c r="C98" s="23" t="s">
        <v>85</v>
      </c>
      <c r="D98" s="24"/>
      <c r="E98" s="24"/>
      <c r="F98" s="55"/>
      <c r="G98" s="55"/>
      <c r="H98" s="56">
        <v>200000</v>
      </c>
      <c r="I98" s="55"/>
      <c r="J98" s="55"/>
    </row>
    <row r="99" spans="1:10" x14ac:dyDescent="0.25">
      <c r="A99" s="11"/>
      <c r="B99" s="23">
        <v>322001</v>
      </c>
      <c r="C99" s="23" t="s">
        <v>86</v>
      </c>
      <c r="D99" s="24">
        <v>10000</v>
      </c>
      <c r="E99" s="24">
        <v>0</v>
      </c>
      <c r="F99" s="55">
        <v>0</v>
      </c>
      <c r="G99" s="55">
        <v>50000</v>
      </c>
      <c r="H99" s="55">
        <v>0</v>
      </c>
      <c r="I99" s="55">
        <f>H99</f>
        <v>0</v>
      </c>
      <c r="J99" s="55">
        <f>I99</f>
        <v>0</v>
      </c>
    </row>
    <row r="100" spans="1:10" x14ac:dyDescent="0.25">
      <c r="A100" s="57" t="s">
        <v>87</v>
      </c>
      <c r="B100" s="25">
        <v>111</v>
      </c>
      <c r="C100" s="25" t="s">
        <v>9</v>
      </c>
      <c r="D100" s="26">
        <f>SUM(D74:D99)</f>
        <v>474738.5199999999</v>
      </c>
      <c r="E100" s="26">
        <f>SUM(E74:E99)</f>
        <v>486713.67</v>
      </c>
      <c r="F100" s="26">
        <f>SUM(F73:F99)</f>
        <v>513430</v>
      </c>
      <c r="G100" s="26">
        <f>SUM(G73:G99)</f>
        <v>565026.47000000009</v>
      </c>
      <c r="H100" s="26">
        <f>SUM(H73:H99)</f>
        <v>1994742</v>
      </c>
      <c r="I100" s="26">
        <f>SUM(I73:I99)</f>
        <v>753486</v>
      </c>
      <c r="J100" s="26">
        <f>SUM(J73:J99)</f>
        <v>482886</v>
      </c>
    </row>
    <row r="102" spans="1:10" x14ac:dyDescent="0.25">
      <c r="A102" s="29" t="s">
        <v>88</v>
      </c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1:10" x14ac:dyDescent="0.25">
      <c r="A103" s="21"/>
      <c r="B103" s="21"/>
      <c r="C103" s="21"/>
      <c r="D103" s="22" t="s">
        <v>1</v>
      </c>
      <c r="E103" s="22" t="s">
        <v>2</v>
      </c>
      <c r="F103" s="22" t="s">
        <v>3</v>
      </c>
      <c r="G103" s="22" t="s">
        <v>4</v>
      </c>
      <c r="H103" s="22" t="s">
        <v>5</v>
      </c>
      <c r="I103" s="22" t="s">
        <v>6</v>
      </c>
      <c r="J103" s="22" t="s">
        <v>7</v>
      </c>
    </row>
    <row r="104" spans="1:10" x14ac:dyDescent="0.25">
      <c r="A104" s="10" t="s">
        <v>8</v>
      </c>
      <c r="B104" s="31">
        <v>131</v>
      </c>
      <c r="C104" s="31" t="s">
        <v>89</v>
      </c>
      <c r="D104" s="32">
        <f>D109</f>
        <v>22382.36</v>
      </c>
      <c r="E104" s="32">
        <f>E109</f>
        <v>17330.41</v>
      </c>
      <c r="F104" s="32">
        <v>0</v>
      </c>
      <c r="G104" s="32">
        <v>3513</v>
      </c>
      <c r="H104" s="32">
        <v>0</v>
      </c>
      <c r="I104" s="32">
        <v>0</v>
      </c>
      <c r="J104" s="32">
        <v>0</v>
      </c>
    </row>
    <row r="105" spans="1:10" x14ac:dyDescent="0.25">
      <c r="A105" s="10"/>
      <c r="B105" s="31">
        <v>41</v>
      </c>
      <c r="C105" s="31" t="s">
        <v>10</v>
      </c>
      <c r="D105" s="32">
        <f>D110</f>
        <v>3387.31</v>
      </c>
      <c r="E105" s="32">
        <f>E110</f>
        <v>12173.51</v>
      </c>
      <c r="F105" s="32">
        <f>F110</f>
        <v>182899</v>
      </c>
      <c r="G105" s="32">
        <f>G110</f>
        <v>11270.570000000007</v>
      </c>
      <c r="H105" s="32">
        <f>H111</f>
        <v>147240</v>
      </c>
      <c r="I105" s="32">
        <v>0</v>
      </c>
      <c r="J105" s="32">
        <v>0</v>
      </c>
    </row>
    <row r="106" spans="1:10" x14ac:dyDescent="0.25">
      <c r="A106" s="10"/>
      <c r="B106" s="31">
        <v>52</v>
      </c>
      <c r="C106" s="31" t="s">
        <v>13</v>
      </c>
      <c r="D106" s="32">
        <v>0</v>
      </c>
      <c r="E106" s="32">
        <v>0</v>
      </c>
      <c r="F106" s="32">
        <v>0</v>
      </c>
      <c r="G106" s="32">
        <v>0</v>
      </c>
      <c r="H106" s="32">
        <v>60000</v>
      </c>
      <c r="I106" s="32">
        <v>0</v>
      </c>
      <c r="J106" s="32">
        <v>0</v>
      </c>
    </row>
    <row r="107" spans="1:10" x14ac:dyDescent="0.25">
      <c r="A107" s="27"/>
      <c r="B107" s="28"/>
      <c r="C107" s="33" t="s">
        <v>18</v>
      </c>
      <c r="D107" s="34">
        <f t="shared" ref="D107:J107" si="22">SUM(D104:D106)</f>
        <v>25769.670000000002</v>
      </c>
      <c r="E107" s="34">
        <f t="shared" si="22"/>
        <v>29503.919999999998</v>
      </c>
      <c r="F107" s="34">
        <f t="shared" si="22"/>
        <v>182899</v>
      </c>
      <c r="G107" s="34">
        <f t="shared" si="22"/>
        <v>14783.570000000007</v>
      </c>
      <c r="H107" s="34">
        <f t="shared" si="22"/>
        <v>207240</v>
      </c>
      <c r="I107" s="34">
        <f t="shared" si="22"/>
        <v>0</v>
      </c>
      <c r="J107" s="34">
        <f t="shared" si="22"/>
        <v>0</v>
      </c>
    </row>
    <row r="109" spans="1:10" x14ac:dyDescent="0.25">
      <c r="B109" s="41" t="s">
        <v>43</v>
      </c>
      <c r="C109" s="27" t="s">
        <v>90</v>
      </c>
      <c r="D109" s="42">
        <v>22382.36</v>
      </c>
      <c r="E109" s="42">
        <v>17330.41</v>
      </c>
      <c r="F109" s="42"/>
      <c r="G109" s="42">
        <v>3513.02</v>
      </c>
      <c r="H109" s="42"/>
      <c r="I109" s="42"/>
      <c r="J109" s="43"/>
    </row>
    <row r="110" spans="1:10" x14ac:dyDescent="0.25">
      <c r="B110" s="44"/>
      <c r="C110" s="17" t="s">
        <v>91</v>
      </c>
      <c r="D110" s="46">
        <v>3387.31</v>
      </c>
      <c r="E110" s="46">
        <v>12173.51</v>
      </c>
      <c r="F110" s="46">
        <v>182899</v>
      </c>
      <c r="G110" s="46">
        <f>199703.57-188433</f>
        <v>11270.570000000007</v>
      </c>
      <c r="H110" s="46"/>
      <c r="I110" s="46"/>
      <c r="J110" s="47"/>
    </row>
    <row r="111" spans="1:10" x14ac:dyDescent="0.25">
      <c r="B111" s="44"/>
      <c r="C111" s="45" t="s">
        <v>92</v>
      </c>
      <c r="D111" s="46"/>
      <c r="E111" s="46"/>
      <c r="F111" s="46"/>
      <c r="G111" s="46">
        <f>6887.05-6887.05</f>
        <v>0</v>
      </c>
      <c r="H111" s="46">
        <f>6887+188433-48080</f>
        <v>147240</v>
      </c>
      <c r="I111" s="46"/>
      <c r="J111" s="47"/>
    </row>
    <row r="112" spans="1:10" x14ac:dyDescent="0.25">
      <c r="B112" s="49"/>
      <c r="C112" s="58" t="s">
        <v>93</v>
      </c>
      <c r="D112" s="51"/>
      <c r="E112" s="51"/>
      <c r="F112" s="51"/>
      <c r="G112" s="51"/>
      <c r="H112" s="51">
        <v>60000</v>
      </c>
      <c r="I112" s="51"/>
      <c r="J112" s="52"/>
    </row>
    <row r="114" spans="1:10" x14ac:dyDescent="0.25">
      <c r="A114" s="29" t="s">
        <v>94</v>
      </c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1:10" x14ac:dyDescent="0.25">
      <c r="A115" s="21"/>
      <c r="B115" s="21"/>
      <c r="C115" s="21"/>
      <c r="D115" s="22" t="s">
        <v>1</v>
      </c>
      <c r="E115" s="22" t="s">
        <v>2</v>
      </c>
      <c r="F115" s="22" t="s">
        <v>3</v>
      </c>
      <c r="G115" s="22" t="s">
        <v>4</v>
      </c>
      <c r="H115" s="22" t="s">
        <v>5</v>
      </c>
      <c r="I115" s="22" t="s">
        <v>6</v>
      </c>
      <c r="J115" s="22" t="s">
        <v>7</v>
      </c>
    </row>
    <row r="116" spans="1:10" x14ac:dyDescent="0.25">
      <c r="D116" s="32">
        <f>D16-výdaje!G15</f>
        <v>38850.810000000056</v>
      </c>
      <c r="E116" s="32">
        <f>E16-výdaje!H15</f>
        <v>212846.36999999965</v>
      </c>
      <c r="F116" s="32">
        <f>F16-výdaje!I15</f>
        <v>54330</v>
      </c>
      <c r="G116" s="32">
        <f>G16-výdaje!J15</f>
        <v>111186.05000000028</v>
      </c>
      <c r="H116" s="32">
        <f>H16-výdaje!K15</f>
        <v>0</v>
      </c>
      <c r="I116" s="32">
        <f>I16-výdaje!L15</f>
        <v>0</v>
      </c>
      <c r="J116" s="32">
        <f>J16-výdaje!M15</f>
        <v>0</v>
      </c>
    </row>
  </sheetData>
  <mergeCells count="5">
    <mergeCell ref="A3:A15"/>
    <mergeCell ref="A25:A33"/>
    <mergeCell ref="A43:A48"/>
    <mergeCell ref="A73:A99"/>
    <mergeCell ref="A104:A106"/>
  </mergeCells>
  <printOptions horizontalCentered="1"/>
  <pageMargins left="0.19685039370078741" right="0.19685039370078741" top="0.43307086614173229" bottom="0.43307086614173229" header="0.31496062992125984" footer="0.31496062992125984"/>
  <pageSetup paperSize="9" scale="85" firstPageNumber="0" orientation="portrait" horizontalDpi="300" verticalDpi="300" r:id="rId1"/>
  <headerFooter>
    <oddHeader>&amp;L&amp;"Arial,Normálne"&amp;10Finančný rozpočet v členení podľa programov&amp;C&amp;"Arial,Normálne"&amp;10Obec Nesluša&amp;R&amp;"Arial,Normálne"&amp;10 2017 - 2019</oddHeader>
    <oddFooter>&amp;L&amp;"Arial,Normálne"&amp;10Príloha č. 1&amp;C&amp;"Arial,Normálne"&amp;10Schválený: UOZ_I-3/2017&amp;R&amp;"Arial,Normálne"&amp;10 03. 03. 2017</oddFooter>
  </headerFooter>
  <rowBreaks count="4" manualBreakCount="4">
    <brk id="17" max="16383" man="1"/>
    <brk id="35" max="16383" man="1"/>
    <brk id="65" max="16383" man="1"/>
    <brk id="101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W562"/>
  <sheetViews>
    <sheetView topLeftCell="D1" zoomScaleNormal="100" workbookViewId="0">
      <selection activeCell="D1" sqref="D1"/>
    </sheetView>
  </sheetViews>
  <sheetFormatPr defaultRowHeight="15" x14ac:dyDescent="0.25"/>
  <cols>
    <col min="1" max="1" width="2.7109375" style="59" hidden="1" customWidth="1"/>
    <col min="2" max="2" width="3.140625" style="59" hidden="1" customWidth="1"/>
    <col min="3" max="3" width="3" style="59" hidden="1" customWidth="1"/>
    <col min="4" max="4" width="11.5703125" style="59" customWidth="1"/>
    <col min="5" max="5" width="8.5703125" style="59" customWidth="1"/>
    <col min="6" max="6" width="18.140625" style="59" customWidth="1"/>
    <col min="7" max="13" width="11.28515625" style="59" customWidth="1"/>
    <col min="14" max="1011" width="8.5703125" style="59" customWidth="1"/>
    <col min="1012" max="1025" width="8.5703125" customWidth="1"/>
  </cols>
  <sheetData>
    <row r="1" spans="1:13" x14ac:dyDescent="0.25">
      <c r="A1" s="59" t="s">
        <v>95</v>
      </c>
      <c r="B1" s="59" t="s">
        <v>96</v>
      </c>
      <c r="C1" s="59" t="s">
        <v>97</v>
      </c>
      <c r="D1" s="60" t="s">
        <v>98</v>
      </c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25">
      <c r="D2" s="62"/>
      <c r="E2" s="62"/>
      <c r="F2" s="62"/>
      <c r="G2" s="63" t="s">
        <v>1</v>
      </c>
      <c r="H2" s="63" t="s">
        <v>2</v>
      </c>
      <c r="I2" s="63" t="s">
        <v>3</v>
      </c>
      <c r="J2" s="63" t="s">
        <v>4</v>
      </c>
      <c r="K2" s="63" t="s">
        <v>5</v>
      </c>
      <c r="L2" s="63" t="s">
        <v>6</v>
      </c>
      <c r="M2" s="63" t="s">
        <v>7</v>
      </c>
    </row>
    <row r="3" spans="1:13" ht="13.9" customHeight="1" x14ac:dyDescent="0.25">
      <c r="D3" s="9" t="s">
        <v>8</v>
      </c>
      <c r="E3" s="64">
        <v>111</v>
      </c>
      <c r="F3" s="64" t="s">
        <v>9</v>
      </c>
      <c r="G3" s="65">
        <f t="shared" ref="G3:M3" si="0">G19+G128+G224+G386</f>
        <v>482576.37</v>
      </c>
      <c r="H3" s="65">
        <f t="shared" si="0"/>
        <v>488245.51000000007</v>
      </c>
      <c r="I3" s="65">
        <f t="shared" si="0"/>
        <v>507598</v>
      </c>
      <c r="J3" s="65">
        <f t="shared" si="0"/>
        <v>513863.26999999996</v>
      </c>
      <c r="K3" s="65">
        <f t="shared" si="0"/>
        <v>498523</v>
      </c>
      <c r="L3" s="65">
        <f t="shared" si="0"/>
        <v>481402</v>
      </c>
      <c r="M3" s="65">
        <f t="shared" si="0"/>
        <v>483185</v>
      </c>
    </row>
    <row r="4" spans="1:13" x14ac:dyDescent="0.25">
      <c r="D4" s="9"/>
      <c r="E4" s="64">
        <v>41</v>
      </c>
      <c r="F4" s="64" t="s">
        <v>10</v>
      </c>
      <c r="G4" s="65">
        <f t="shared" ref="G4:M4" si="1">G20+G129+G171+G196+G225+G299+G387+G560</f>
        <v>735831.40999999992</v>
      </c>
      <c r="H4" s="65">
        <f t="shared" si="1"/>
        <v>681453.7</v>
      </c>
      <c r="I4" s="65">
        <f t="shared" si="1"/>
        <v>724731</v>
      </c>
      <c r="J4" s="65">
        <f t="shared" si="1"/>
        <v>692801.23</v>
      </c>
      <c r="K4" s="65">
        <f t="shared" si="1"/>
        <v>764932</v>
      </c>
      <c r="L4" s="65">
        <f t="shared" si="1"/>
        <v>712951</v>
      </c>
      <c r="M4" s="65">
        <f t="shared" si="1"/>
        <v>724098</v>
      </c>
    </row>
    <row r="5" spans="1:13" x14ac:dyDescent="0.25">
      <c r="D5" s="9"/>
      <c r="E5" s="64"/>
      <c r="F5" s="66" t="s">
        <v>99</v>
      </c>
      <c r="G5" s="67">
        <f t="shared" ref="G5:M5" si="2">SUM(G3:G4)</f>
        <v>1218407.7799999998</v>
      </c>
      <c r="H5" s="67">
        <f t="shared" si="2"/>
        <v>1169699.21</v>
      </c>
      <c r="I5" s="67">
        <f t="shared" si="2"/>
        <v>1232329</v>
      </c>
      <c r="J5" s="67">
        <f t="shared" si="2"/>
        <v>1206664.5</v>
      </c>
      <c r="K5" s="67">
        <f t="shared" si="2"/>
        <v>1263455</v>
      </c>
      <c r="L5" s="67">
        <f t="shared" si="2"/>
        <v>1194353</v>
      </c>
      <c r="M5" s="67">
        <f t="shared" si="2"/>
        <v>1207283</v>
      </c>
    </row>
    <row r="6" spans="1:13" x14ac:dyDescent="0.25">
      <c r="D6" s="9"/>
      <c r="E6" s="64">
        <v>111</v>
      </c>
      <c r="F6" s="64" t="s">
        <v>9</v>
      </c>
      <c r="G6" s="65">
        <f t="shared" ref="G6:M8" si="3">G446</f>
        <v>0</v>
      </c>
      <c r="H6" s="65">
        <f t="shared" si="3"/>
        <v>10000</v>
      </c>
      <c r="I6" s="65">
        <f t="shared" si="3"/>
        <v>0</v>
      </c>
      <c r="J6" s="65">
        <f t="shared" si="3"/>
        <v>50000</v>
      </c>
      <c r="K6" s="65">
        <f t="shared" si="3"/>
        <v>1505300</v>
      </c>
      <c r="L6" s="65">
        <f t="shared" si="3"/>
        <v>274600</v>
      </c>
      <c r="M6" s="65">
        <f t="shared" si="3"/>
        <v>0</v>
      </c>
    </row>
    <row r="7" spans="1:13" x14ac:dyDescent="0.25">
      <c r="D7" s="9"/>
      <c r="E7" s="64">
        <v>41</v>
      </c>
      <c r="F7" s="64" t="s">
        <v>10</v>
      </c>
      <c r="G7" s="65">
        <f t="shared" si="3"/>
        <v>48692.63</v>
      </c>
      <c r="H7" s="65">
        <f t="shared" si="3"/>
        <v>12262.35</v>
      </c>
      <c r="I7" s="65">
        <f t="shared" si="3"/>
        <v>360450</v>
      </c>
      <c r="J7" s="65">
        <f t="shared" si="3"/>
        <v>279817.53000000003</v>
      </c>
      <c r="K7" s="65">
        <f t="shared" si="3"/>
        <v>409903</v>
      </c>
      <c r="L7" s="65">
        <f t="shared" si="3"/>
        <v>321209</v>
      </c>
      <c r="M7" s="65">
        <f t="shared" si="3"/>
        <v>312279</v>
      </c>
    </row>
    <row r="8" spans="1:13" x14ac:dyDescent="0.25">
      <c r="D8" s="9"/>
      <c r="E8" s="64">
        <v>52</v>
      </c>
      <c r="F8" s="64" t="s">
        <v>13</v>
      </c>
      <c r="G8" s="65">
        <f t="shared" si="3"/>
        <v>0</v>
      </c>
      <c r="H8" s="65">
        <f t="shared" si="3"/>
        <v>0</v>
      </c>
      <c r="I8" s="65">
        <f t="shared" si="3"/>
        <v>0</v>
      </c>
      <c r="J8" s="65">
        <f t="shared" si="3"/>
        <v>0</v>
      </c>
      <c r="K8" s="65">
        <f t="shared" si="3"/>
        <v>60000</v>
      </c>
      <c r="L8" s="65">
        <f t="shared" si="3"/>
        <v>0</v>
      </c>
      <c r="M8" s="65">
        <f t="shared" si="3"/>
        <v>0</v>
      </c>
    </row>
    <row r="9" spans="1:13" x14ac:dyDescent="0.25">
      <c r="D9" s="9"/>
      <c r="E9" s="64"/>
      <c r="F9" s="66" t="s">
        <v>100</v>
      </c>
      <c r="G9" s="67">
        <f t="shared" ref="G9:M9" si="4">SUM(G6:G8)</f>
        <v>48692.63</v>
      </c>
      <c r="H9" s="67">
        <f t="shared" si="4"/>
        <v>22262.35</v>
      </c>
      <c r="I9" s="67">
        <f t="shared" si="4"/>
        <v>360450</v>
      </c>
      <c r="J9" s="67">
        <f t="shared" si="4"/>
        <v>329817.53000000003</v>
      </c>
      <c r="K9" s="67">
        <f t="shared" si="4"/>
        <v>1975203</v>
      </c>
      <c r="L9" s="67">
        <f t="shared" si="4"/>
        <v>595809</v>
      </c>
      <c r="M9" s="67">
        <f t="shared" si="4"/>
        <v>312279</v>
      </c>
    </row>
    <row r="10" spans="1:13" x14ac:dyDescent="0.25">
      <c r="D10" s="9"/>
      <c r="E10" s="64">
        <v>41</v>
      </c>
      <c r="F10" s="64" t="s">
        <v>10</v>
      </c>
      <c r="G10" s="65">
        <f t="shared" ref="G10:M10" si="5">G561</f>
        <v>11205.58</v>
      </c>
      <c r="H10" s="65">
        <f t="shared" si="5"/>
        <v>12054.31</v>
      </c>
      <c r="I10" s="65">
        <f t="shared" si="5"/>
        <v>4219</v>
      </c>
      <c r="J10" s="65">
        <f t="shared" si="5"/>
        <v>4218.93</v>
      </c>
      <c r="K10" s="65">
        <f t="shared" si="5"/>
        <v>20000</v>
      </c>
      <c r="L10" s="65">
        <f t="shared" si="5"/>
        <v>20000</v>
      </c>
      <c r="M10" s="65">
        <f t="shared" si="5"/>
        <v>20000</v>
      </c>
    </row>
    <row r="11" spans="1:13" x14ac:dyDescent="0.25">
      <c r="D11" s="9"/>
      <c r="E11" s="64"/>
      <c r="F11" s="66" t="s">
        <v>14</v>
      </c>
      <c r="G11" s="67">
        <f t="shared" ref="G11:M11" si="6">SUM(G10)</f>
        <v>11205.58</v>
      </c>
      <c r="H11" s="67">
        <f t="shared" si="6"/>
        <v>12054.31</v>
      </c>
      <c r="I11" s="67">
        <f t="shared" si="6"/>
        <v>4219</v>
      </c>
      <c r="J11" s="67">
        <f t="shared" si="6"/>
        <v>4218.93</v>
      </c>
      <c r="K11" s="67">
        <f t="shared" si="6"/>
        <v>20000</v>
      </c>
      <c r="L11" s="67">
        <f t="shared" si="6"/>
        <v>20000</v>
      </c>
      <c r="M11" s="67">
        <f t="shared" si="6"/>
        <v>20000</v>
      </c>
    </row>
    <row r="12" spans="1:13" x14ac:dyDescent="0.25">
      <c r="D12" s="9"/>
      <c r="E12" s="64">
        <v>111</v>
      </c>
      <c r="F12" s="64" t="s">
        <v>9</v>
      </c>
      <c r="G12" s="65">
        <f t="shared" ref="G12:M12" si="7">G3+G6</f>
        <v>482576.37</v>
      </c>
      <c r="H12" s="65">
        <f t="shared" si="7"/>
        <v>498245.51000000007</v>
      </c>
      <c r="I12" s="65">
        <f t="shared" si="7"/>
        <v>507598</v>
      </c>
      <c r="J12" s="65">
        <f t="shared" si="7"/>
        <v>563863.27</v>
      </c>
      <c r="K12" s="65">
        <f t="shared" si="7"/>
        <v>2003823</v>
      </c>
      <c r="L12" s="65">
        <f t="shared" si="7"/>
        <v>756002</v>
      </c>
      <c r="M12" s="65">
        <f t="shared" si="7"/>
        <v>483185</v>
      </c>
    </row>
    <row r="13" spans="1:13" x14ac:dyDescent="0.25">
      <c r="D13" s="9"/>
      <c r="E13" s="64">
        <v>41</v>
      </c>
      <c r="F13" s="64" t="s">
        <v>10</v>
      </c>
      <c r="G13" s="65">
        <f t="shared" ref="G13:M13" si="8">G4+G7+G10</f>
        <v>795729.61999999988</v>
      </c>
      <c r="H13" s="65">
        <f t="shared" si="8"/>
        <v>705770.36</v>
      </c>
      <c r="I13" s="65">
        <f t="shared" si="8"/>
        <v>1089400</v>
      </c>
      <c r="J13" s="65">
        <f t="shared" si="8"/>
        <v>976837.69000000006</v>
      </c>
      <c r="K13" s="65">
        <f t="shared" si="8"/>
        <v>1194835</v>
      </c>
      <c r="L13" s="65">
        <f t="shared" si="8"/>
        <v>1054160</v>
      </c>
      <c r="M13" s="65">
        <f t="shared" si="8"/>
        <v>1056377</v>
      </c>
    </row>
    <row r="14" spans="1:13" x14ac:dyDescent="0.25">
      <c r="D14" s="9"/>
      <c r="E14" s="64">
        <v>52</v>
      </c>
      <c r="F14" s="64" t="s">
        <v>13</v>
      </c>
      <c r="G14" s="65">
        <f t="shared" ref="G14:M14" si="9">G8</f>
        <v>0</v>
      </c>
      <c r="H14" s="65">
        <f t="shared" si="9"/>
        <v>0</v>
      </c>
      <c r="I14" s="65">
        <f t="shared" si="9"/>
        <v>0</v>
      </c>
      <c r="J14" s="65">
        <f t="shared" si="9"/>
        <v>0</v>
      </c>
      <c r="K14" s="65">
        <f t="shared" si="9"/>
        <v>60000</v>
      </c>
      <c r="L14" s="65">
        <f t="shared" si="9"/>
        <v>0</v>
      </c>
      <c r="M14" s="65">
        <f t="shared" si="9"/>
        <v>0</v>
      </c>
    </row>
    <row r="15" spans="1:13" x14ac:dyDescent="0.25">
      <c r="D15" s="68"/>
      <c r="E15" s="69"/>
      <c r="F15" s="66" t="s">
        <v>18</v>
      </c>
      <c r="G15" s="67">
        <f t="shared" ref="G15:M15" si="10">SUM(G12:G14)</f>
        <v>1278305.9899999998</v>
      </c>
      <c r="H15" s="67">
        <f t="shared" si="10"/>
        <v>1204015.8700000001</v>
      </c>
      <c r="I15" s="67">
        <f t="shared" si="10"/>
        <v>1596998</v>
      </c>
      <c r="J15" s="67">
        <f t="shared" si="10"/>
        <v>1540700.96</v>
      </c>
      <c r="K15" s="67">
        <f t="shared" si="10"/>
        <v>3258658</v>
      </c>
      <c r="L15" s="67">
        <f t="shared" si="10"/>
        <v>1810162</v>
      </c>
      <c r="M15" s="67">
        <f t="shared" si="10"/>
        <v>1539562</v>
      </c>
    </row>
    <row r="17" spans="1:13" x14ac:dyDescent="0.25">
      <c r="D17" s="8" t="s">
        <v>101</v>
      </c>
      <c r="E17" s="8"/>
      <c r="F17" s="8"/>
      <c r="G17" s="8"/>
      <c r="H17" s="8"/>
      <c r="I17" s="8"/>
      <c r="J17" s="8"/>
      <c r="K17" s="8"/>
      <c r="L17" s="8"/>
      <c r="M17" s="8"/>
    </row>
    <row r="18" spans="1:13" x14ac:dyDescent="0.25">
      <c r="D18" s="62"/>
      <c r="E18" s="62"/>
      <c r="F18" s="62"/>
      <c r="G18" s="63" t="s">
        <v>1</v>
      </c>
      <c r="H18" s="63" t="s">
        <v>2</v>
      </c>
      <c r="I18" s="63" t="s">
        <v>3</v>
      </c>
      <c r="J18" s="63" t="s">
        <v>4</v>
      </c>
      <c r="K18" s="63" t="s">
        <v>5</v>
      </c>
      <c r="L18" s="63" t="s">
        <v>6</v>
      </c>
      <c r="M18" s="63" t="s">
        <v>7</v>
      </c>
    </row>
    <row r="19" spans="1:13" x14ac:dyDescent="0.25">
      <c r="A19" s="59">
        <v>1</v>
      </c>
      <c r="D19" s="7" t="s">
        <v>8</v>
      </c>
      <c r="E19" s="72">
        <v>111</v>
      </c>
      <c r="F19" s="72" t="s">
        <v>89</v>
      </c>
      <c r="G19" s="73">
        <f t="shared" ref="G19:M19" si="11">G25+G99+G124</f>
        <v>15518.85</v>
      </c>
      <c r="H19" s="73">
        <f t="shared" si="11"/>
        <v>9258.61</v>
      </c>
      <c r="I19" s="73">
        <f t="shared" si="11"/>
        <v>9978</v>
      </c>
      <c r="J19" s="73">
        <f t="shared" si="11"/>
        <v>10335.490000000002</v>
      </c>
      <c r="K19" s="73">
        <f t="shared" si="11"/>
        <v>10618</v>
      </c>
      <c r="L19" s="73">
        <f t="shared" si="11"/>
        <v>10618</v>
      </c>
      <c r="M19" s="73">
        <f t="shared" si="11"/>
        <v>14618</v>
      </c>
    </row>
    <row r="20" spans="1:13" x14ac:dyDescent="0.25">
      <c r="A20" s="59">
        <v>1</v>
      </c>
      <c r="D20" s="7"/>
      <c r="E20" s="72">
        <v>41</v>
      </c>
      <c r="F20" s="72" t="s">
        <v>10</v>
      </c>
      <c r="G20" s="73">
        <f t="shared" ref="G20:M20" si="12">G26+G103+G113</f>
        <v>208865.62999999995</v>
      </c>
      <c r="H20" s="73">
        <f t="shared" si="12"/>
        <v>215078.16000000003</v>
      </c>
      <c r="I20" s="73">
        <f t="shared" si="12"/>
        <v>233155</v>
      </c>
      <c r="J20" s="73">
        <f t="shared" si="12"/>
        <v>206016.95999999996</v>
      </c>
      <c r="K20" s="73">
        <f t="shared" si="12"/>
        <v>234504</v>
      </c>
      <c r="L20" s="73">
        <f t="shared" si="12"/>
        <v>219141</v>
      </c>
      <c r="M20" s="73">
        <f t="shared" si="12"/>
        <v>222992</v>
      </c>
    </row>
    <row r="21" spans="1:13" x14ac:dyDescent="0.25">
      <c r="A21" s="59">
        <v>1</v>
      </c>
      <c r="D21" s="68"/>
      <c r="E21" s="69"/>
      <c r="F21" s="74" t="s">
        <v>18</v>
      </c>
      <c r="G21" s="75">
        <f t="shared" ref="G21:M21" si="13">SUM(G19:G20)</f>
        <v>224384.47999999995</v>
      </c>
      <c r="H21" s="75">
        <f t="shared" si="13"/>
        <v>224336.77000000002</v>
      </c>
      <c r="I21" s="75">
        <f t="shared" si="13"/>
        <v>243133</v>
      </c>
      <c r="J21" s="75">
        <f t="shared" si="13"/>
        <v>216352.44999999995</v>
      </c>
      <c r="K21" s="75">
        <f t="shared" si="13"/>
        <v>245122</v>
      </c>
      <c r="L21" s="75">
        <f t="shared" si="13"/>
        <v>229759</v>
      </c>
      <c r="M21" s="75">
        <f t="shared" si="13"/>
        <v>237610</v>
      </c>
    </row>
    <row r="23" spans="1:13" x14ac:dyDescent="0.25">
      <c r="D23" s="6" t="s">
        <v>102</v>
      </c>
      <c r="E23" s="6"/>
      <c r="F23" s="6"/>
      <c r="G23" s="6"/>
      <c r="H23" s="6"/>
      <c r="I23" s="6"/>
      <c r="J23" s="6"/>
      <c r="K23" s="6"/>
      <c r="L23" s="6"/>
      <c r="M23" s="6"/>
    </row>
    <row r="24" spans="1:13" x14ac:dyDescent="0.25">
      <c r="D24" s="63"/>
      <c r="E24" s="63"/>
      <c r="F24" s="63"/>
      <c r="G24" s="63" t="s">
        <v>1</v>
      </c>
      <c r="H24" s="63" t="s">
        <v>2</v>
      </c>
      <c r="I24" s="63" t="s">
        <v>3</v>
      </c>
      <c r="J24" s="63" t="s">
        <v>4</v>
      </c>
      <c r="K24" s="63" t="s">
        <v>5</v>
      </c>
      <c r="L24" s="63" t="s">
        <v>6</v>
      </c>
      <c r="M24" s="63" t="s">
        <v>7</v>
      </c>
    </row>
    <row r="25" spans="1:13" x14ac:dyDescent="0.25">
      <c r="A25" s="59">
        <v>1</v>
      </c>
      <c r="B25" s="59">
        <v>1</v>
      </c>
      <c r="D25" s="5" t="s">
        <v>8</v>
      </c>
      <c r="E25" s="64">
        <v>111</v>
      </c>
      <c r="F25" s="64" t="s">
        <v>89</v>
      </c>
      <c r="G25" s="65">
        <f t="shared" ref="G25:M25" si="14">G88</f>
        <v>4850.42</v>
      </c>
      <c r="H25" s="65">
        <f t="shared" si="14"/>
        <v>5042.6000000000004</v>
      </c>
      <c r="I25" s="65">
        <f t="shared" si="14"/>
        <v>5042</v>
      </c>
      <c r="J25" s="65">
        <f t="shared" si="14"/>
        <v>5164.8500000000004</v>
      </c>
      <c r="K25" s="65">
        <f t="shared" si="14"/>
        <v>5252</v>
      </c>
      <c r="L25" s="65">
        <f t="shared" si="14"/>
        <v>5252</v>
      </c>
      <c r="M25" s="65">
        <f t="shared" si="14"/>
        <v>5252</v>
      </c>
    </row>
    <row r="26" spans="1:13" x14ac:dyDescent="0.25">
      <c r="A26" s="59">
        <v>1</v>
      </c>
      <c r="B26" s="59">
        <v>1</v>
      </c>
      <c r="D26" s="5"/>
      <c r="E26" s="64">
        <v>41</v>
      </c>
      <c r="F26" s="64" t="s">
        <v>10</v>
      </c>
      <c r="G26" s="65">
        <f t="shared" ref="G26:M26" si="15">G35+G45+G52+G58+G71+G81+G93</f>
        <v>185967.82999999996</v>
      </c>
      <c r="H26" s="65">
        <f t="shared" si="15"/>
        <v>202158.88000000003</v>
      </c>
      <c r="I26" s="65">
        <f t="shared" si="15"/>
        <v>216905</v>
      </c>
      <c r="J26" s="65">
        <f t="shared" si="15"/>
        <v>185918.52999999997</v>
      </c>
      <c r="K26" s="65">
        <f t="shared" si="15"/>
        <v>214277</v>
      </c>
      <c r="L26" s="65">
        <f t="shared" si="15"/>
        <v>198914</v>
      </c>
      <c r="M26" s="65">
        <f t="shared" si="15"/>
        <v>202765</v>
      </c>
    </row>
    <row r="27" spans="1:13" x14ac:dyDescent="0.25">
      <c r="A27" s="59">
        <v>1</v>
      </c>
      <c r="B27" s="59">
        <v>1</v>
      </c>
      <c r="D27" s="68"/>
      <c r="E27" s="69"/>
      <c r="F27" s="66" t="s">
        <v>18</v>
      </c>
      <c r="G27" s="67">
        <f t="shared" ref="G27:M27" si="16">SUM(G25:G26)</f>
        <v>190818.24999999997</v>
      </c>
      <c r="H27" s="67">
        <f t="shared" si="16"/>
        <v>207201.48000000004</v>
      </c>
      <c r="I27" s="67">
        <f t="shared" si="16"/>
        <v>221947</v>
      </c>
      <c r="J27" s="67">
        <f t="shared" si="16"/>
        <v>191083.37999999998</v>
      </c>
      <c r="K27" s="67">
        <f t="shared" si="16"/>
        <v>219529</v>
      </c>
      <c r="L27" s="67">
        <f t="shared" si="16"/>
        <v>204166</v>
      </c>
      <c r="M27" s="67">
        <f t="shared" si="16"/>
        <v>208017</v>
      </c>
    </row>
    <row r="29" spans="1:13" x14ac:dyDescent="0.25">
      <c r="D29" s="4" t="s">
        <v>103</v>
      </c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D30" s="63" t="s">
        <v>20</v>
      </c>
      <c r="E30" s="63" t="s">
        <v>21</v>
      </c>
      <c r="F30" s="63" t="s">
        <v>22</v>
      </c>
      <c r="G30" s="63" t="s">
        <v>1</v>
      </c>
      <c r="H30" s="63" t="s">
        <v>2</v>
      </c>
      <c r="I30" s="63" t="s">
        <v>3</v>
      </c>
      <c r="J30" s="63" t="s">
        <v>4</v>
      </c>
      <c r="K30" s="63" t="s">
        <v>5</v>
      </c>
      <c r="L30" s="63" t="s">
        <v>6</v>
      </c>
      <c r="M30" s="63" t="s">
        <v>7</v>
      </c>
    </row>
    <row r="31" spans="1:13" x14ac:dyDescent="0.25">
      <c r="A31" s="59">
        <v>1</v>
      </c>
      <c r="B31" s="59">
        <v>1</v>
      </c>
      <c r="C31" s="59">
        <v>1</v>
      </c>
      <c r="D31" s="3" t="s">
        <v>104</v>
      </c>
      <c r="E31" s="64">
        <v>610</v>
      </c>
      <c r="F31" s="64" t="s">
        <v>105</v>
      </c>
      <c r="G31" s="65">
        <v>28804.21</v>
      </c>
      <c r="H31" s="65">
        <v>28444.91</v>
      </c>
      <c r="I31" s="65">
        <v>28452</v>
      </c>
      <c r="J31" s="65">
        <v>28464.29</v>
      </c>
      <c r="K31" s="65">
        <v>28430</v>
      </c>
      <c r="L31" s="65">
        <f t="shared" ref="L31:M34" si="17">K31</f>
        <v>28430</v>
      </c>
      <c r="M31" s="65">
        <f t="shared" si="17"/>
        <v>28430</v>
      </c>
    </row>
    <row r="32" spans="1:13" x14ac:dyDescent="0.25">
      <c r="A32" s="59">
        <v>1</v>
      </c>
      <c r="B32" s="59">
        <v>1</v>
      </c>
      <c r="C32" s="59">
        <v>1</v>
      </c>
      <c r="D32" s="3"/>
      <c r="E32" s="64">
        <v>620</v>
      </c>
      <c r="F32" s="64" t="s">
        <v>106</v>
      </c>
      <c r="G32" s="65">
        <v>12216.88</v>
      </c>
      <c r="H32" s="65">
        <v>12391.13</v>
      </c>
      <c r="I32" s="65">
        <v>10489</v>
      </c>
      <c r="J32" s="65">
        <v>12861.72</v>
      </c>
      <c r="K32" s="65">
        <v>12816</v>
      </c>
      <c r="L32" s="65">
        <f t="shared" si="17"/>
        <v>12816</v>
      </c>
      <c r="M32" s="65">
        <f t="shared" si="17"/>
        <v>12816</v>
      </c>
    </row>
    <row r="33" spans="1:13" x14ac:dyDescent="0.25">
      <c r="A33" s="59">
        <v>1</v>
      </c>
      <c r="B33" s="59">
        <v>1</v>
      </c>
      <c r="C33" s="59">
        <v>1</v>
      </c>
      <c r="D33" s="3"/>
      <c r="E33" s="64">
        <v>630</v>
      </c>
      <c r="F33" s="64" t="s">
        <v>107</v>
      </c>
      <c r="G33" s="65">
        <v>8328.33</v>
      </c>
      <c r="H33" s="65">
        <v>5767.31</v>
      </c>
      <c r="I33" s="65">
        <v>10934</v>
      </c>
      <c r="J33" s="65">
        <v>9574.24</v>
      </c>
      <c r="K33" s="80">
        <v>10554</v>
      </c>
      <c r="L33" s="65">
        <f t="shared" si="17"/>
        <v>10554</v>
      </c>
      <c r="M33" s="65">
        <f t="shared" si="17"/>
        <v>10554</v>
      </c>
    </row>
    <row r="34" spans="1:13" x14ac:dyDescent="0.25">
      <c r="A34" s="59">
        <v>1</v>
      </c>
      <c r="B34" s="59">
        <v>1</v>
      </c>
      <c r="C34" s="59">
        <v>1</v>
      </c>
      <c r="D34" s="3"/>
      <c r="E34" s="64">
        <v>640</v>
      </c>
      <c r="F34" s="64" t="s">
        <v>108</v>
      </c>
      <c r="G34" s="65">
        <v>0</v>
      </c>
      <c r="H34" s="65">
        <v>6792.35</v>
      </c>
      <c r="I34" s="65">
        <v>0</v>
      </c>
      <c r="J34" s="65">
        <v>0</v>
      </c>
      <c r="K34" s="65">
        <v>0</v>
      </c>
      <c r="L34" s="65">
        <f t="shared" si="17"/>
        <v>0</v>
      </c>
      <c r="M34" s="65">
        <f t="shared" si="17"/>
        <v>0</v>
      </c>
    </row>
    <row r="35" spans="1:13" x14ac:dyDescent="0.25">
      <c r="A35" s="59">
        <v>1</v>
      </c>
      <c r="B35" s="59">
        <v>1</v>
      </c>
      <c r="C35" s="59">
        <v>1</v>
      </c>
      <c r="D35" s="81" t="s">
        <v>8</v>
      </c>
      <c r="E35" s="66">
        <v>41</v>
      </c>
      <c r="F35" s="66" t="s">
        <v>10</v>
      </c>
      <c r="G35" s="67">
        <f t="shared" ref="G35:M35" si="18">SUM(G31:G34)</f>
        <v>49349.42</v>
      </c>
      <c r="H35" s="67">
        <f t="shared" si="18"/>
        <v>53395.7</v>
      </c>
      <c r="I35" s="67">
        <f t="shared" si="18"/>
        <v>49875</v>
      </c>
      <c r="J35" s="67">
        <f t="shared" si="18"/>
        <v>50900.25</v>
      </c>
      <c r="K35" s="67">
        <f t="shared" si="18"/>
        <v>51800</v>
      </c>
      <c r="L35" s="67">
        <f t="shared" si="18"/>
        <v>51800</v>
      </c>
      <c r="M35" s="67">
        <f t="shared" si="18"/>
        <v>51800</v>
      </c>
    </row>
    <row r="36" spans="1:13" x14ac:dyDescent="0.25">
      <c r="D36" s="82"/>
      <c r="E36" s="83"/>
      <c r="F36" s="83"/>
      <c r="G36" s="84"/>
      <c r="H36" s="84"/>
      <c r="I36" s="84"/>
      <c r="J36" s="84"/>
      <c r="K36" s="84"/>
      <c r="L36" s="84"/>
      <c r="M36" s="84"/>
    </row>
    <row r="37" spans="1:13" x14ac:dyDescent="0.25">
      <c r="D37" s="82"/>
      <c r="E37" s="85" t="s">
        <v>43</v>
      </c>
      <c r="F37" s="86" t="s">
        <v>109</v>
      </c>
      <c r="G37" s="87"/>
      <c r="H37" s="87">
        <v>6777</v>
      </c>
      <c r="I37" s="87"/>
      <c r="J37" s="87"/>
      <c r="K37" s="87"/>
      <c r="L37" s="87"/>
      <c r="M37" s="88"/>
    </row>
    <row r="38" spans="1:13" x14ac:dyDescent="0.25">
      <c r="D38" s="82"/>
      <c r="E38" s="83"/>
      <c r="F38" s="83"/>
      <c r="G38" s="84"/>
      <c r="H38" s="84"/>
      <c r="I38" s="84"/>
      <c r="J38" s="84"/>
      <c r="K38" s="84"/>
      <c r="L38" s="84"/>
      <c r="M38" s="84"/>
    </row>
    <row r="39" spans="1:13" x14ac:dyDescent="0.25">
      <c r="D39" s="4" t="s">
        <v>110</v>
      </c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D40" s="63" t="s">
        <v>20</v>
      </c>
      <c r="E40" s="63" t="s">
        <v>21</v>
      </c>
      <c r="F40" s="63" t="s">
        <v>22</v>
      </c>
      <c r="G40" s="63" t="s">
        <v>1</v>
      </c>
      <c r="H40" s="63" t="s">
        <v>2</v>
      </c>
      <c r="I40" s="63" t="s">
        <v>3</v>
      </c>
      <c r="J40" s="63" t="s">
        <v>4</v>
      </c>
      <c r="K40" s="63" t="s">
        <v>5</v>
      </c>
      <c r="L40" s="63" t="s">
        <v>6</v>
      </c>
      <c r="M40" s="63" t="s">
        <v>7</v>
      </c>
    </row>
    <row r="41" spans="1:13" x14ac:dyDescent="0.25">
      <c r="A41" s="59">
        <v>1</v>
      </c>
      <c r="B41" s="59">
        <v>1</v>
      </c>
      <c r="C41" s="59">
        <v>2</v>
      </c>
      <c r="D41" s="3" t="s">
        <v>104</v>
      </c>
      <c r="E41" s="64">
        <v>610</v>
      </c>
      <c r="F41" s="64" t="s">
        <v>105</v>
      </c>
      <c r="G41" s="65">
        <v>46254.400000000001</v>
      </c>
      <c r="H41" s="65">
        <v>48214.27</v>
      </c>
      <c r="I41" s="65">
        <v>47517</v>
      </c>
      <c r="J41" s="65">
        <v>39593.61</v>
      </c>
      <c r="K41" s="80">
        <v>44910</v>
      </c>
      <c r="L41" s="65">
        <v>46635</v>
      </c>
      <c r="M41" s="65">
        <v>48429</v>
      </c>
    </row>
    <row r="42" spans="1:13" x14ac:dyDescent="0.25">
      <c r="A42" s="59">
        <v>1</v>
      </c>
      <c r="B42" s="59">
        <v>1</v>
      </c>
      <c r="C42" s="59">
        <v>2</v>
      </c>
      <c r="D42" s="3"/>
      <c r="E42" s="64">
        <v>620</v>
      </c>
      <c r="F42" s="64" t="s">
        <v>106</v>
      </c>
      <c r="G42" s="65">
        <v>16286.66</v>
      </c>
      <c r="H42" s="65">
        <v>17328.599999999999</v>
      </c>
      <c r="I42" s="65">
        <v>18359</v>
      </c>
      <c r="J42" s="65">
        <v>16359.24</v>
      </c>
      <c r="K42" s="65">
        <v>16843</v>
      </c>
      <c r="L42" s="65">
        <v>18457</v>
      </c>
      <c r="M42" s="65">
        <v>19128</v>
      </c>
    </row>
    <row r="43" spans="1:13" x14ac:dyDescent="0.25">
      <c r="A43" s="59">
        <v>1</v>
      </c>
      <c r="B43" s="59">
        <v>1</v>
      </c>
      <c r="C43" s="59">
        <v>2</v>
      </c>
      <c r="D43" s="3"/>
      <c r="E43" s="64">
        <v>630</v>
      </c>
      <c r="F43" s="64" t="s">
        <v>107</v>
      </c>
      <c r="G43" s="65">
        <v>3019.15</v>
      </c>
      <c r="H43" s="65">
        <v>5447.21</v>
      </c>
      <c r="I43" s="65">
        <v>9389</v>
      </c>
      <c r="J43" s="65">
        <v>9911.81</v>
      </c>
      <c r="K43" s="65">
        <v>3283</v>
      </c>
      <c r="L43" s="65">
        <v>3303</v>
      </c>
      <c r="M43" s="65">
        <v>3362</v>
      </c>
    </row>
    <row r="44" spans="1:13" x14ac:dyDescent="0.25">
      <c r="A44" s="59">
        <v>1</v>
      </c>
      <c r="B44" s="59">
        <v>1</v>
      </c>
      <c r="C44" s="59">
        <v>2</v>
      </c>
      <c r="D44" s="3"/>
      <c r="E44" s="64">
        <v>640</v>
      </c>
      <c r="F44" s="64" t="s">
        <v>108</v>
      </c>
      <c r="G44" s="65">
        <v>68.31</v>
      </c>
      <c r="H44" s="65">
        <v>767.93</v>
      </c>
      <c r="I44" s="65">
        <v>1051</v>
      </c>
      <c r="J44" s="65">
        <v>1755</v>
      </c>
      <c r="K44" s="65">
        <v>0</v>
      </c>
      <c r="L44" s="65">
        <v>0</v>
      </c>
      <c r="M44" s="65">
        <v>0</v>
      </c>
    </row>
    <row r="45" spans="1:13" x14ac:dyDescent="0.25">
      <c r="A45" s="59">
        <v>1</v>
      </c>
      <c r="B45" s="59">
        <v>1</v>
      </c>
      <c r="C45" s="59">
        <v>2</v>
      </c>
      <c r="D45" s="81" t="s">
        <v>8</v>
      </c>
      <c r="E45" s="66">
        <v>41</v>
      </c>
      <c r="F45" s="66" t="s">
        <v>10</v>
      </c>
      <c r="G45" s="67">
        <f t="shared" ref="G45:M45" si="19">SUM(G41:G44)</f>
        <v>65628.51999999999</v>
      </c>
      <c r="H45" s="67">
        <f t="shared" si="19"/>
        <v>71758.009999999995</v>
      </c>
      <c r="I45" s="67">
        <f t="shared" si="19"/>
        <v>76316</v>
      </c>
      <c r="J45" s="67">
        <f t="shared" si="19"/>
        <v>67619.66</v>
      </c>
      <c r="K45" s="67">
        <f t="shared" si="19"/>
        <v>65036</v>
      </c>
      <c r="L45" s="67">
        <f t="shared" si="19"/>
        <v>68395</v>
      </c>
      <c r="M45" s="67">
        <f t="shared" si="19"/>
        <v>70919</v>
      </c>
    </row>
    <row r="46" spans="1:13" x14ac:dyDescent="0.25">
      <c r="D46" s="82"/>
      <c r="E46" s="83"/>
      <c r="F46" s="83"/>
      <c r="G46" s="84"/>
      <c r="H46" s="84"/>
      <c r="I46" s="84"/>
      <c r="J46" s="84"/>
      <c r="K46" s="84"/>
      <c r="L46" s="84"/>
      <c r="M46" s="84"/>
    </row>
    <row r="47" spans="1:13" x14ac:dyDescent="0.25">
      <c r="D47" s="4" t="s">
        <v>111</v>
      </c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D48" s="63" t="s">
        <v>20</v>
      </c>
      <c r="E48" s="63" t="s">
        <v>21</v>
      </c>
      <c r="F48" s="63" t="s">
        <v>22</v>
      </c>
      <c r="G48" s="63" t="s">
        <v>1</v>
      </c>
      <c r="H48" s="63" t="s">
        <v>2</v>
      </c>
      <c r="I48" s="63" t="s">
        <v>3</v>
      </c>
      <c r="J48" s="63" t="s">
        <v>4</v>
      </c>
      <c r="K48" s="63" t="s">
        <v>5</v>
      </c>
      <c r="L48" s="63" t="s">
        <v>6</v>
      </c>
      <c r="M48" s="63" t="s">
        <v>7</v>
      </c>
    </row>
    <row r="49" spans="1:13" x14ac:dyDescent="0.25">
      <c r="A49" s="59">
        <v>1</v>
      </c>
      <c r="B49" s="59">
        <v>1</v>
      </c>
      <c r="C49" s="59">
        <v>3</v>
      </c>
      <c r="D49" s="3" t="s">
        <v>112</v>
      </c>
      <c r="E49" s="64">
        <v>610</v>
      </c>
      <c r="F49" s="64" t="s">
        <v>105</v>
      </c>
      <c r="G49" s="65">
        <v>8533.2199999999993</v>
      </c>
      <c r="H49" s="65">
        <v>8310.74</v>
      </c>
      <c r="I49" s="65">
        <v>3468</v>
      </c>
      <c r="J49" s="65">
        <v>3556</v>
      </c>
      <c r="K49" s="65">
        <f t="shared" ref="K49:M50" si="20">ROUND(J49*J49/I49,0)</f>
        <v>3646</v>
      </c>
      <c r="L49" s="65">
        <f t="shared" si="20"/>
        <v>3738</v>
      </c>
      <c r="M49" s="65">
        <f t="shared" si="20"/>
        <v>3832</v>
      </c>
    </row>
    <row r="50" spans="1:13" x14ac:dyDescent="0.25">
      <c r="A50" s="59">
        <v>1</v>
      </c>
      <c r="B50" s="59">
        <v>1</v>
      </c>
      <c r="C50" s="59">
        <v>3</v>
      </c>
      <c r="D50" s="3"/>
      <c r="E50" s="64">
        <v>620</v>
      </c>
      <c r="F50" s="64" t="s">
        <v>106</v>
      </c>
      <c r="G50" s="65">
        <v>2995.51</v>
      </c>
      <c r="H50" s="65">
        <v>2917.24</v>
      </c>
      <c r="I50" s="65">
        <v>1214</v>
      </c>
      <c r="J50" s="65">
        <v>1242.47</v>
      </c>
      <c r="K50" s="65">
        <f t="shared" si="20"/>
        <v>1272</v>
      </c>
      <c r="L50" s="65">
        <f t="shared" si="20"/>
        <v>1302</v>
      </c>
      <c r="M50" s="65">
        <f t="shared" si="20"/>
        <v>1333</v>
      </c>
    </row>
    <row r="51" spans="1:13" x14ac:dyDescent="0.25">
      <c r="A51" s="59">
        <v>1</v>
      </c>
      <c r="B51" s="59">
        <v>1</v>
      </c>
      <c r="C51" s="59">
        <v>3</v>
      </c>
      <c r="D51" s="3"/>
      <c r="E51" s="64">
        <v>630</v>
      </c>
      <c r="F51" s="64" t="s">
        <v>107</v>
      </c>
      <c r="G51" s="65">
        <v>969.53</v>
      </c>
      <c r="H51" s="65">
        <v>1220.3399999999999</v>
      </c>
      <c r="I51" s="65">
        <v>1697</v>
      </c>
      <c r="J51" s="65">
        <v>3523.71</v>
      </c>
      <c r="K51" s="65">
        <v>1526</v>
      </c>
      <c r="L51" s="65">
        <f>K51</f>
        <v>1526</v>
      </c>
      <c r="M51" s="65">
        <f>L51</f>
        <v>1526</v>
      </c>
    </row>
    <row r="52" spans="1:13" x14ac:dyDescent="0.25">
      <c r="A52" s="59">
        <v>1</v>
      </c>
      <c r="B52" s="59">
        <v>1</v>
      </c>
      <c r="C52" s="59">
        <v>3</v>
      </c>
      <c r="D52" s="81" t="s">
        <v>8</v>
      </c>
      <c r="E52" s="66">
        <v>41</v>
      </c>
      <c r="F52" s="66" t="s">
        <v>10</v>
      </c>
      <c r="G52" s="67">
        <f t="shared" ref="G52:M52" si="21">SUM(G49:G51)</f>
        <v>12498.26</v>
      </c>
      <c r="H52" s="67">
        <f t="shared" si="21"/>
        <v>12448.32</v>
      </c>
      <c r="I52" s="67">
        <f t="shared" si="21"/>
        <v>6379</v>
      </c>
      <c r="J52" s="67">
        <f t="shared" si="21"/>
        <v>8322.18</v>
      </c>
      <c r="K52" s="67">
        <f t="shared" si="21"/>
        <v>6444</v>
      </c>
      <c r="L52" s="67">
        <f t="shared" si="21"/>
        <v>6566</v>
      </c>
      <c r="M52" s="67">
        <f t="shared" si="21"/>
        <v>6691</v>
      </c>
    </row>
    <row r="53" spans="1:13" x14ac:dyDescent="0.25">
      <c r="D53" s="82"/>
      <c r="E53" s="83"/>
      <c r="F53" s="83"/>
      <c r="G53" s="84"/>
      <c r="H53" s="84"/>
      <c r="I53" s="84"/>
      <c r="J53" s="84"/>
      <c r="K53" s="84"/>
      <c r="L53" s="84"/>
      <c r="M53" s="84"/>
    </row>
    <row r="54" spans="1:13" x14ac:dyDescent="0.25">
      <c r="D54" s="4" t="s">
        <v>113</v>
      </c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D55" s="63" t="s">
        <v>20</v>
      </c>
      <c r="E55" s="63" t="s">
        <v>21</v>
      </c>
      <c r="F55" s="63" t="s">
        <v>22</v>
      </c>
      <c r="G55" s="63" t="s">
        <v>1</v>
      </c>
      <c r="H55" s="63" t="s">
        <v>2</v>
      </c>
      <c r="I55" s="63" t="s">
        <v>3</v>
      </c>
      <c r="J55" s="63" t="s">
        <v>4</v>
      </c>
      <c r="K55" s="63" t="s">
        <v>5</v>
      </c>
      <c r="L55" s="63" t="s">
        <v>6</v>
      </c>
      <c r="M55" s="63" t="s">
        <v>7</v>
      </c>
    </row>
    <row r="56" spans="1:13" x14ac:dyDescent="0.25">
      <c r="A56" s="59">
        <v>1</v>
      </c>
      <c r="B56" s="59">
        <v>1</v>
      </c>
      <c r="C56" s="59">
        <v>4</v>
      </c>
      <c r="D56" s="89" t="s">
        <v>104</v>
      </c>
      <c r="E56" s="64">
        <v>630</v>
      </c>
      <c r="F56" s="64" t="s">
        <v>107</v>
      </c>
      <c r="G56" s="65">
        <v>6343.63</v>
      </c>
      <c r="H56" s="65">
        <v>11444.65</v>
      </c>
      <c r="I56" s="65">
        <v>16872</v>
      </c>
      <c r="J56" s="65">
        <v>11905.01</v>
      </c>
      <c r="K56" s="65">
        <f>14520+2500+20000</f>
        <v>37020</v>
      </c>
      <c r="L56" s="65">
        <f>K56-20000</f>
        <v>17020</v>
      </c>
      <c r="M56" s="65">
        <f>L56</f>
        <v>17020</v>
      </c>
    </row>
    <row r="57" spans="1:13" x14ac:dyDescent="0.25">
      <c r="A57" s="59">
        <v>1</v>
      </c>
      <c r="B57" s="59">
        <v>1</v>
      </c>
      <c r="C57" s="59">
        <v>4</v>
      </c>
      <c r="D57" s="89" t="s">
        <v>112</v>
      </c>
      <c r="E57" s="64">
        <v>630</v>
      </c>
      <c r="F57" s="64" t="s">
        <v>114</v>
      </c>
      <c r="G57" s="65">
        <v>1678.89</v>
      </c>
      <c r="H57" s="65">
        <v>248.86</v>
      </c>
      <c r="I57" s="65">
        <v>258</v>
      </c>
      <c r="J57" s="65">
        <v>430.98</v>
      </c>
      <c r="K57" s="65">
        <v>300</v>
      </c>
      <c r="L57" s="65">
        <f>K57</f>
        <v>300</v>
      </c>
      <c r="M57" s="65">
        <f>L57</f>
        <v>300</v>
      </c>
    </row>
    <row r="58" spans="1:13" x14ac:dyDescent="0.25">
      <c r="A58" s="59">
        <v>1</v>
      </c>
      <c r="B58" s="59">
        <v>1</v>
      </c>
      <c r="C58" s="59">
        <v>4</v>
      </c>
      <c r="D58" s="81" t="s">
        <v>8</v>
      </c>
      <c r="E58" s="66">
        <v>41</v>
      </c>
      <c r="F58" s="66" t="s">
        <v>10</v>
      </c>
      <c r="G58" s="67">
        <f t="shared" ref="G58:M58" si="22">SUM(G56:G57)</f>
        <v>8022.52</v>
      </c>
      <c r="H58" s="67">
        <f t="shared" si="22"/>
        <v>11693.51</v>
      </c>
      <c r="I58" s="67">
        <f t="shared" si="22"/>
        <v>17130</v>
      </c>
      <c r="J58" s="67">
        <f t="shared" si="22"/>
        <v>12335.99</v>
      </c>
      <c r="K58" s="67">
        <f t="shared" si="22"/>
        <v>37320</v>
      </c>
      <c r="L58" s="67">
        <f t="shared" si="22"/>
        <v>17320</v>
      </c>
      <c r="M58" s="67">
        <f t="shared" si="22"/>
        <v>17320</v>
      </c>
    </row>
    <row r="59" spans="1:13" x14ac:dyDescent="0.25">
      <c r="D59" s="82"/>
      <c r="E59" s="83"/>
      <c r="F59" s="83"/>
      <c r="G59" s="84"/>
      <c r="H59" s="84"/>
      <c r="I59" s="84"/>
      <c r="J59" s="84"/>
      <c r="K59" s="84"/>
      <c r="L59" s="84"/>
      <c r="M59" s="84"/>
    </row>
    <row r="60" spans="1:13" x14ac:dyDescent="0.25">
      <c r="D60" s="82"/>
      <c r="E60" s="90" t="s">
        <v>43</v>
      </c>
      <c r="F60" s="68" t="s">
        <v>115</v>
      </c>
      <c r="G60" s="91">
        <v>1429.84</v>
      </c>
      <c r="H60" s="91">
        <v>2674.89</v>
      </c>
      <c r="I60" s="91">
        <v>5000</v>
      </c>
      <c r="J60" s="91">
        <v>2328.19</v>
      </c>
      <c r="K60" s="91">
        <v>5000</v>
      </c>
      <c r="L60" s="91">
        <f>I60</f>
        <v>5000</v>
      </c>
      <c r="M60" s="92">
        <f>L60</f>
        <v>5000</v>
      </c>
    </row>
    <row r="61" spans="1:13" x14ac:dyDescent="0.25">
      <c r="D61" s="82"/>
      <c r="E61" s="93"/>
      <c r="F61" s="59" t="s">
        <v>116</v>
      </c>
      <c r="G61" s="94">
        <v>1469.79</v>
      </c>
      <c r="H61" s="94">
        <v>1563.13</v>
      </c>
      <c r="I61" s="94">
        <v>1600</v>
      </c>
      <c r="J61" s="94">
        <v>1400</v>
      </c>
      <c r="K61" s="94">
        <v>1400</v>
      </c>
      <c r="L61" s="94">
        <f>I61</f>
        <v>1600</v>
      </c>
      <c r="M61" s="95">
        <f>L61</f>
        <v>1600</v>
      </c>
    </row>
    <row r="62" spans="1:13" x14ac:dyDescent="0.25">
      <c r="D62" s="82"/>
      <c r="E62" s="93"/>
      <c r="F62" s="96" t="s">
        <v>117</v>
      </c>
      <c r="G62" s="97"/>
      <c r="H62" s="97"/>
      <c r="I62" s="97">
        <v>3000</v>
      </c>
      <c r="J62" s="97">
        <v>0</v>
      </c>
      <c r="K62" s="97">
        <v>3500</v>
      </c>
      <c r="L62" s="97">
        <f>K62</f>
        <v>3500</v>
      </c>
      <c r="M62" s="95">
        <f>L62</f>
        <v>3500</v>
      </c>
    </row>
    <row r="63" spans="1:13" x14ac:dyDescent="0.25">
      <c r="D63" s="82"/>
      <c r="E63" s="98"/>
      <c r="F63" s="99" t="s">
        <v>118</v>
      </c>
      <c r="G63" s="100"/>
      <c r="H63" s="100"/>
      <c r="I63" s="100"/>
      <c r="J63" s="100"/>
      <c r="K63" s="100">
        <v>20000</v>
      </c>
      <c r="L63" s="100"/>
      <c r="M63" s="101"/>
    </row>
    <row r="64" spans="1:13" x14ac:dyDescent="0.25">
      <c r="D64" s="82"/>
      <c r="E64" s="96"/>
      <c r="F64" s="96"/>
      <c r="G64" s="97"/>
      <c r="H64" s="97"/>
      <c r="I64" s="97"/>
      <c r="J64" s="97"/>
      <c r="K64" s="97"/>
      <c r="L64" s="97"/>
      <c r="M64" s="97"/>
    </row>
    <row r="65" spans="1:13" x14ac:dyDescent="0.25">
      <c r="D65" s="4" t="s">
        <v>119</v>
      </c>
      <c r="E65" s="4"/>
      <c r="F65" s="4"/>
      <c r="G65" s="4"/>
      <c r="H65" s="4"/>
      <c r="I65" s="4"/>
      <c r="J65" s="4"/>
      <c r="K65" s="4"/>
      <c r="L65" s="4"/>
      <c r="M65" s="4"/>
    </row>
    <row r="66" spans="1:13" x14ac:dyDescent="0.25">
      <c r="D66" s="63" t="s">
        <v>20</v>
      </c>
      <c r="E66" s="63" t="s">
        <v>21</v>
      </c>
      <c r="F66" s="63" t="s">
        <v>22</v>
      </c>
      <c r="G66" s="63" t="s">
        <v>1</v>
      </c>
      <c r="H66" s="63" t="s">
        <v>2</v>
      </c>
      <c r="I66" s="63" t="s">
        <v>3</v>
      </c>
      <c r="J66" s="63" t="s">
        <v>4</v>
      </c>
      <c r="K66" s="63" t="s">
        <v>5</v>
      </c>
      <c r="L66" s="63" t="s">
        <v>6</v>
      </c>
      <c r="M66" s="63" t="s">
        <v>7</v>
      </c>
    </row>
    <row r="67" spans="1:13" x14ac:dyDescent="0.25">
      <c r="A67" s="59">
        <v>1</v>
      </c>
      <c r="B67" s="59">
        <v>1</v>
      </c>
      <c r="C67" s="59">
        <v>5</v>
      </c>
      <c r="D67" s="2" t="s">
        <v>112</v>
      </c>
      <c r="E67" s="64">
        <v>610</v>
      </c>
      <c r="F67" s="64" t="s">
        <v>105</v>
      </c>
      <c r="G67" s="65">
        <v>8873.92</v>
      </c>
      <c r="H67" s="65">
        <v>10928.43</v>
      </c>
      <c r="I67" s="65">
        <v>16670</v>
      </c>
      <c r="J67" s="65">
        <v>6672.36</v>
      </c>
      <c r="K67" s="65">
        <v>15759</v>
      </c>
      <c r="L67" s="65">
        <v>16361</v>
      </c>
      <c r="M67" s="65">
        <v>16988</v>
      </c>
    </row>
    <row r="68" spans="1:13" x14ac:dyDescent="0.25">
      <c r="A68" s="59">
        <v>1</v>
      </c>
      <c r="B68" s="59">
        <v>1</v>
      </c>
      <c r="C68" s="59">
        <v>5</v>
      </c>
      <c r="D68" s="2" t="s">
        <v>120</v>
      </c>
      <c r="E68" s="64">
        <v>620</v>
      </c>
      <c r="F68" s="64" t="s">
        <v>106</v>
      </c>
      <c r="G68" s="65">
        <v>4568.1899999999996</v>
      </c>
      <c r="H68" s="65">
        <v>4371.55</v>
      </c>
      <c r="I68" s="65">
        <v>6484</v>
      </c>
      <c r="J68" s="65">
        <v>2591.4</v>
      </c>
      <c r="K68" s="65">
        <v>6149</v>
      </c>
      <c r="L68" s="65">
        <v>6372</v>
      </c>
      <c r="M68" s="65">
        <v>6603</v>
      </c>
    </row>
    <row r="69" spans="1:13" x14ac:dyDescent="0.25">
      <c r="A69" s="59">
        <v>1</v>
      </c>
      <c r="B69" s="59">
        <v>1</v>
      </c>
      <c r="C69" s="59">
        <v>5</v>
      </c>
      <c r="D69" s="2" t="s">
        <v>121</v>
      </c>
      <c r="E69" s="64">
        <v>630</v>
      </c>
      <c r="F69" s="64" t="s">
        <v>107</v>
      </c>
      <c r="G69" s="65">
        <v>29090.17</v>
      </c>
      <c r="H69" s="65">
        <v>30313.57</v>
      </c>
      <c r="I69" s="65">
        <v>30867</v>
      </c>
      <c r="J69" s="65">
        <v>26003.759999999998</v>
      </c>
      <c r="K69" s="65">
        <f>2593+22890-3357-313</f>
        <v>21813</v>
      </c>
      <c r="L69" s="65">
        <f>K69</f>
        <v>21813</v>
      </c>
      <c r="M69" s="65">
        <f>L69</f>
        <v>21813</v>
      </c>
    </row>
    <row r="70" spans="1:13" x14ac:dyDescent="0.25">
      <c r="A70" s="59">
        <v>1</v>
      </c>
      <c r="B70" s="59">
        <v>1</v>
      </c>
      <c r="C70" s="59">
        <v>5</v>
      </c>
      <c r="D70" s="2" t="s">
        <v>122</v>
      </c>
      <c r="E70" s="64">
        <v>640</v>
      </c>
      <c r="F70" s="64" t="s">
        <v>108</v>
      </c>
      <c r="G70" s="65">
        <v>0</v>
      </c>
      <c r="H70" s="65">
        <v>0</v>
      </c>
      <c r="I70" s="65">
        <v>0</v>
      </c>
      <c r="J70" s="65">
        <v>218.53</v>
      </c>
      <c r="K70" s="65">
        <v>0</v>
      </c>
      <c r="L70" s="65">
        <f>K70</f>
        <v>0</v>
      </c>
      <c r="M70" s="65">
        <f>L70</f>
        <v>0</v>
      </c>
    </row>
    <row r="71" spans="1:13" x14ac:dyDescent="0.25">
      <c r="A71" s="59">
        <v>1</v>
      </c>
      <c r="B71" s="59">
        <v>1</v>
      </c>
      <c r="C71" s="59">
        <v>5</v>
      </c>
      <c r="D71" s="81" t="s">
        <v>8</v>
      </c>
      <c r="E71" s="66">
        <v>41</v>
      </c>
      <c r="F71" s="66" t="s">
        <v>10</v>
      </c>
      <c r="G71" s="67">
        <f t="shared" ref="G71:M71" si="23">SUM(G67:G70)</f>
        <v>42532.28</v>
      </c>
      <c r="H71" s="67">
        <f t="shared" si="23"/>
        <v>45613.55</v>
      </c>
      <c r="I71" s="67">
        <f t="shared" si="23"/>
        <v>54021</v>
      </c>
      <c r="J71" s="67">
        <f t="shared" si="23"/>
        <v>35486.049999999996</v>
      </c>
      <c r="K71" s="67">
        <f t="shared" si="23"/>
        <v>43721</v>
      </c>
      <c r="L71" s="67">
        <f t="shared" si="23"/>
        <v>44546</v>
      </c>
      <c r="M71" s="67">
        <f t="shared" si="23"/>
        <v>45404</v>
      </c>
    </row>
    <row r="72" spans="1:13" x14ac:dyDescent="0.25">
      <c r="D72" s="82"/>
      <c r="E72" s="83"/>
      <c r="F72" s="83"/>
      <c r="G72" s="84"/>
      <c r="H72" s="84"/>
      <c r="I72" s="84"/>
      <c r="J72" s="84"/>
      <c r="K72" s="84"/>
      <c r="L72" s="84"/>
      <c r="M72" s="84"/>
    </row>
    <row r="73" spans="1:13" x14ac:dyDescent="0.25">
      <c r="D73" s="82"/>
      <c r="E73" s="90" t="s">
        <v>43</v>
      </c>
      <c r="F73" s="68" t="s">
        <v>123</v>
      </c>
      <c r="G73" s="91">
        <v>1275.6400000000001</v>
      </c>
      <c r="H73" s="91">
        <v>1815</v>
      </c>
      <c r="I73" s="91">
        <f>H73</f>
        <v>1815</v>
      </c>
      <c r="J73" s="91">
        <v>1606</v>
      </c>
      <c r="K73" s="91">
        <f>117*11</f>
        <v>1287</v>
      </c>
      <c r="L73" s="91">
        <f t="shared" ref="L73:M75" si="24">K73</f>
        <v>1287</v>
      </c>
      <c r="M73" s="92">
        <f t="shared" si="24"/>
        <v>1287</v>
      </c>
    </row>
    <row r="74" spans="1:13" x14ac:dyDescent="0.25">
      <c r="D74" s="82"/>
      <c r="E74" s="93"/>
      <c r="F74" s="59" t="s">
        <v>124</v>
      </c>
      <c r="G74" s="94">
        <v>6633.22</v>
      </c>
      <c r="H74" s="94">
        <v>9000</v>
      </c>
      <c r="I74" s="94">
        <f>H74</f>
        <v>9000</v>
      </c>
      <c r="J74" s="94">
        <v>7128</v>
      </c>
      <c r="K74" s="94">
        <v>3773</v>
      </c>
      <c r="L74" s="94">
        <f t="shared" si="24"/>
        <v>3773</v>
      </c>
      <c r="M74" s="95">
        <f t="shared" si="24"/>
        <v>3773</v>
      </c>
    </row>
    <row r="75" spans="1:13" x14ac:dyDescent="0.25">
      <c r="D75" s="82"/>
      <c r="E75" s="98"/>
      <c r="F75" s="99" t="s">
        <v>125</v>
      </c>
      <c r="G75" s="100">
        <v>7394.98</v>
      </c>
      <c r="H75" s="100">
        <v>6116.13</v>
      </c>
      <c r="I75" s="100">
        <v>6200</v>
      </c>
      <c r="J75" s="100">
        <v>4050.55</v>
      </c>
      <c r="K75" s="100">
        <v>4500</v>
      </c>
      <c r="L75" s="100">
        <f t="shared" si="24"/>
        <v>4500</v>
      </c>
      <c r="M75" s="101">
        <f t="shared" si="24"/>
        <v>4500</v>
      </c>
    </row>
    <row r="76" spans="1:13" x14ac:dyDescent="0.25">
      <c r="D76" s="82"/>
      <c r="E76" s="83"/>
      <c r="F76" s="83"/>
      <c r="G76" s="84"/>
      <c r="H76" s="84"/>
      <c r="I76" s="84"/>
      <c r="J76" s="84"/>
      <c r="K76" s="84"/>
      <c r="L76" s="84"/>
      <c r="M76" s="84"/>
    </row>
    <row r="77" spans="1:13" x14ac:dyDescent="0.25">
      <c r="D77" s="4" t="s">
        <v>126</v>
      </c>
      <c r="E77" s="4"/>
      <c r="F77" s="4"/>
      <c r="G77" s="4"/>
      <c r="H77" s="4"/>
      <c r="I77" s="4"/>
      <c r="J77" s="4"/>
      <c r="K77" s="4"/>
      <c r="L77" s="4"/>
      <c r="M77" s="4"/>
    </row>
    <row r="78" spans="1:13" x14ac:dyDescent="0.25">
      <c r="D78" s="63" t="s">
        <v>20</v>
      </c>
      <c r="E78" s="63" t="s">
        <v>21</v>
      </c>
      <c r="F78" s="63" t="s">
        <v>22</v>
      </c>
      <c r="G78" s="63" t="s">
        <v>1</v>
      </c>
      <c r="H78" s="63" t="s">
        <v>2</v>
      </c>
      <c r="I78" s="63" t="s">
        <v>3</v>
      </c>
      <c r="J78" s="63" t="s">
        <v>4</v>
      </c>
      <c r="K78" s="63" t="s">
        <v>5</v>
      </c>
      <c r="L78" s="63" t="s">
        <v>6</v>
      </c>
      <c r="M78" s="63" t="s">
        <v>7</v>
      </c>
    </row>
    <row r="79" spans="1:13" x14ac:dyDescent="0.25">
      <c r="A79" s="59">
        <v>1</v>
      </c>
      <c r="B79" s="59">
        <v>1</v>
      </c>
      <c r="C79" s="59">
        <v>6</v>
      </c>
      <c r="D79" s="3" t="s">
        <v>127</v>
      </c>
      <c r="E79" s="64">
        <v>630</v>
      </c>
      <c r="F79" s="64" t="s">
        <v>107</v>
      </c>
      <c r="G79" s="65">
        <v>935.21</v>
      </c>
      <c r="H79" s="65">
        <v>1157.9000000000001</v>
      </c>
      <c r="I79" s="65">
        <f>1400+4000</f>
        <v>5400</v>
      </c>
      <c r="J79" s="65">
        <v>3239</v>
      </c>
      <c r="K79" s="65">
        <v>850</v>
      </c>
      <c r="L79" s="65">
        <f>K79</f>
        <v>850</v>
      </c>
      <c r="M79" s="65">
        <f>L79</f>
        <v>850</v>
      </c>
    </row>
    <row r="80" spans="1:13" x14ac:dyDescent="0.25">
      <c r="A80" s="59">
        <v>1</v>
      </c>
      <c r="B80" s="59">
        <v>1</v>
      </c>
      <c r="C80" s="59">
        <v>6</v>
      </c>
      <c r="D80" s="3"/>
      <c r="E80" s="64">
        <v>640</v>
      </c>
      <c r="F80" s="64" t="s">
        <v>108</v>
      </c>
      <c r="G80" s="65">
        <v>1000</v>
      </c>
      <c r="H80" s="65">
        <v>0</v>
      </c>
      <c r="I80" s="65">
        <v>0</v>
      </c>
      <c r="J80" s="65">
        <v>0</v>
      </c>
      <c r="K80" s="65">
        <f>J80</f>
        <v>0</v>
      </c>
      <c r="L80" s="65">
        <f>K80</f>
        <v>0</v>
      </c>
      <c r="M80" s="65">
        <f>L80</f>
        <v>0</v>
      </c>
    </row>
    <row r="81" spans="1:13" x14ac:dyDescent="0.25">
      <c r="A81" s="59">
        <v>1</v>
      </c>
      <c r="B81" s="59">
        <v>1</v>
      </c>
      <c r="C81" s="59">
        <v>6</v>
      </c>
      <c r="D81" s="81" t="s">
        <v>8</v>
      </c>
      <c r="E81" s="66">
        <v>41</v>
      </c>
      <c r="F81" s="66" t="s">
        <v>10</v>
      </c>
      <c r="G81" s="67">
        <f t="shared" ref="G81:M81" si="25">SUM(G79:G80)</f>
        <v>1935.21</v>
      </c>
      <c r="H81" s="67">
        <f t="shared" si="25"/>
        <v>1157.9000000000001</v>
      </c>
      <c r="I81" s="67">
        <f t="shared" si="25"/>
        <v>5400</v>
      </c>
      <c r="J81" s="67">
        <f t="shared" si="25"/>
        <v>3239</v>
      </c>
      <c r="K81" s="67">
        <f t="shared" si="25"/>
        <v>850</v>
      </c>
      <c r="L81" s="67">
        <f t="shared" si="25"/>
        <v>850</v>
      </c>
      <c r="M81" s="67">
        <f t="shared" si="25"/>
        <v>850</v>
      </c>
    </row>
    <row r="82" spans="1:13" x14ac:dyDescent="0.25">
      <c r="D82" s="82"/>
      <c r="E82" s="83"/>
      <c r="F82" s="83"/>
      <c r="G82" s="84"/>
      <c r="H82" s="84"/>
      <c r="I82" s="84"/>
      <c r="J82" s="84"/>
      <c r="K82" s="84"/>
      <c r="L82" s="84"/>
      <c r="M82" s="84"/>
    </row>
    <row r="83" spans="1:13" x14ac:dyDescent="0.25">
      <c r="D83" s="4" t="s">
        <v>128</v>
      </c>
      <c r="E83" s="4"/>
      <c r="F83" s="4"/>
      <c r="G83" s="4"/>
      <c r="H83" s="4"/>
      <c r="I83" s="4"/>
      <c r="J83" s="4"/>
      <c r="K83" s="4"/>
      <c r="L83" s="4"/>
      <c r="M83" s="4"/>
    </row>
    <row r="84" spans="1:13" x14ac:dyDescent="0.25">
      <c r="D84" s="63" t="s">
        <v>20</v>
      </c>
      <c r="E84" s="63" t="s">
        <v>21</v>
      </c>
      <c r="F84" s="63" t="s">
        <v>22</v>
      </c>
      <c r="G84" s="63" t="s">
        <v>1</v>
      </c>
      <c r="H84" s="63" t="s">
        <v>2</v>
      </c>
      <c r="I84" s="63" t="s">
        <v>3</v>
      </c>
      <c r="J84" s="63" t="s">
        <v>4</v>
      </c>
      <c r="K84" s="63" t="s">
        <v>5</v>
      </c>
      <c r="L84" s="63" t="s">
        <v>6</v>
      </c>
      <c r="M84" s="63" t="s">
        <v>7</v>
      </c>
    </row>
    <row r="85" spans="1:13" x14ac:dyDescent="0.25">
      <c r="A85" s="59">
        <v>1</v>
      </c>
      <c r="B85" s="59">
        <v>1</v>
      </c>
      <c r="C85" s="59">
        <v>7</v>
      </c>
      <c r="D85" s="3" t="s">
        <v>129</v>
      </c>
      <c r="E85" s="64">
        <v>610</v>
      </c>
      <c r="F85" s="64" t="s">
        <v>105</v>
      </c>
      <c r="G85" s="65">
        <v>2806.77</v>
      </c>
      <c r="H85" s="65">
        <v>2931.84</v>
      </c>
      <c r="I85" s="65">
        <v>2921</v>
      </c>
      <c r="J85" s="65">
        <v>3243.5</v>
      </c>
      <c r="K85" s="65">
        <v>3244</v>
      </c>
      <c r="L85" s="65">
        <f t="shared" ref="L85:M87" si="26">K85</f>
        <v>3244</v>
      </c>
      <c r="M85" s="65">
        <f t="shared" si="26"/>
        <v>3244</v>
      </c>
    </row>
    <row r="86" spans="1:13" x14ac:dyDescent="0.25">
      <c r="A86" s="59">
        <v>1</v>
      </c>
      <c r="B86" s="59">
        <v>1</v>
      </c>
      <c r="C86" s="59">
        <v>7</v>
      </c>
      <c r="D86" s="3"/>
      <c r="E86" s="64">
        <v>620</v>
      </c>
      <c r="F86" s="64" t="s">
        <v>106</v>
      </c>
      <c r="G86" s="65">
        <v>993.39</v>
      </c>
      <c r="H86" s="65">
        <v>1024.67</v>
      </c>
      <c r="I86" s="65">
        <v>1021</v>
      </c>
      <c r="J86" s="65">
        <v>1173.3900000000001</v>
      </c>
      <c r="K86" s="65">
        <v>1174</v>
      </c>
      <c r="L86" s="65">
        <f t="shared" si="26"/>
        <v>1174</v>
      </c>
      <c r="M86" s="65">
        <f t="shared" si="26"/>
        <v>1174</v>
      </c>
    </row>
    <row r="87" spans="1:13" x14ac:dyDescent="0.25">
      <c r="A87" s="59">
        <v>1</v>
      </c>
      <c r="B87" s="59">
        <v>1</v>
      </c>
      <c r="C87" s="59">
        <v>7</v>
      </c>
      <c r="D87" s="3"/>
      <c r="E87" s="64">
        <v>630</v>
      </c>
      <c r="F87" s="64" t="s">
        <v>107</v>
      </c>
      <c r="G87" s="65">
        <v>1050.26</v>
      </c>
      <c r="H87" s="65">
        <v>1086.0899999999999</v>
      </c>
      <c r="I87" s="65">
        <v>1100</v>
      </c>
      <c r="J87" s="65">
        <v>747.96</v>
      </c>
      <c r="K87" s="65">
        <v>834</v>
      </c>
      <c r="L87" s="65">
        <f t="shared" si="26"/>
        <v>834</v>
      </c>
      <c r="M87" s="65">
        <f t="shared" si="26"/>
        <v>834</v>
      </c>
    </row>
    <row r="88" spans="1:13" x14ac:dyDescent="0.25">
      <c r="A88" s="59">
        <v>1</v>
      </c>
      <c r="B88" s="59">
        <v>1</v>
      </c>
      <c r="C88" s="59">
        <v>7</v>
      </c>
      <c r="D88" s="102" t="s">
        <v>8</v>
      </c>
      <c r="E88" s="103">
        <v>111</v>
      </c>
      <c r="F88" s="103" t="s">
        <v>130</v>
      </c>
      <c r="G88" s="104">
        <f t="shared" ref="G88:M88" si="27">SUM(G85:G87)</f>
        <v>4850.42</v>
      </c>
      <c r="H88" s="104">
        <f t="shared" si="27"/>
        <v>5042.6000000000004</v>
      </c>
      <c r="I88" s="104">
        <f t="shared" si="27"/>
        <v>5042</v>
      </c>
      <c r="J88" s="104">
        <f t="shared" si="27"/>
        <v>5164.8500000000004</v>
      </c>
      <c r="K88" s="104">
        <f t="shared" si="27"/>
        <v>5252</v>
      </c>
      <c r="L88" s="104">
        <f t="shared" si="27"/>
        <v>5252</v>
      </c>
      <c r="M88" s="104">
        <f t="shared" si="27"/>
        <v>5252</v>
      </c>
    </row>
    <row r="89" spans="1:13" x14ac:dyDescent="0.25">
      <c r="A89" s="59">
        <v>1</v>
      </c>
      <c r="B89" s="59">
        <v>1</v>
      </c>
      <c r="C89" s="59">
        <v>7</v>
      </c>
      <c r="D89" s="3" t="s">
        <v>129</v>
      </c>
      <c r="E89" s="64">
        <v>610</v>
      </c>
      <c r="F89" s="64" t="s">
        <v>105</v>
      </c>
      <c r="G89" s="65">
        <v>3976.09</v>
      </c>
      <c r="H89" s="65">
        <v>3638.86</v>
      </c>
      <c r="I89" s="65">
        <v>4980</v>
      </c>
      <c r="J89" s="65">
        <v>5211.74</v>
      </c>
      <c r="K89" s="65">
        <v>6131</v>
      </c>
      <c r="L89" s="65">
        <f>ROUND(K89*1.04,0)</f>
        <v>6376</v>
      </c>
      <c r="M89" s="65">
        <f>ROUND(L89*1.04,0)</f>
        <v>6631</v>
      </c>
    </row>
    <row r="90" spans="1:13" x14ac:dyDescent="0.25">
      <c r="A90" s="59">
        <v>1</v>
      </c>
      <c r="B90" s="59">
        <v>1</v>
      </c>
      <c r="C90" s="59">
        <v>7</v>
      </c>
      <c r="D90" s="3"/>
      <c r="E90" s="64">
        <v>620</v>
      </c>
      <c r="F90" s="64" t="s">
        <v>106</v>
      </c>
      <c r="G90" s="65">
        <v>1455.23</v>
      </c>
      <c r="H90" s="65">
        <v>1510.32</v>
      </c>
      <c r="I90" s="65">
        <v>1930</v>
      </c>
      <c r="J90" s="65">
        <v>1982.47</v>
      </c>
      <c r="K90" s="65">
        <v>2145</v>
      </c>
      <c r="L90" s="65">
        <f>ROUND(K90*1.04,0)</f>
        <v>2231</v>
      </c>
      <c r="M90" s="65">
        <f>ROUND(L90*1.04,0)</f>
        <v>2320</v>
      </c>
    </row>
    <row r="91" spans="1:13" x14ac:dyDescent="0.25">
      <c r="A91" s="59">
        <v>1</v>
      </c>
      <c r="B91" s="59">
        <v>1</v>
      </c>
      <c r="C91" s="59">
        <v>7</v>
      </c>
      <c r="D91" s="3"/>
      <c r="E91" s="64">
        <v>630</v>
      </c>
      <c r="F91" s="64" t="s">
        <v>107</v>
      </c>
      <c r="G91" s="65">
        <v>483.43</v>
      </c>
      <c r="H91" s="65">
        <v>709.62</v>
      </c>
      <c r="I91" s="65">
        <v>874</v>
      </c>
      <c r="J91" s="65">
        <v>821.19</v>
      </c>
      <c r="K91" s="65">
        <v>830</v>
      </c>
      <c r="L91" s="65">
        <f>K91</f>
        <v>830</v>
      </c>
      <c r="M91" s="65">
        <f>L91</f>
        <v>830</v>
      </c>
    </row>
    <row r="92" spans="1:13" x14ac:dyDescent="0.25">
      <c r="A92" s="59">
        <v>1</v>
      </c>
      <c r="B92" s="59">
        <v>1</v>
      </c>
      <c r="C92" s="59">
        <v>7</v>
      </c>
      <c r="D92" s="3"/>
      <c r="E92" s="64">
        <v>640</v>
      </c>
      <c r="F92" s="64" t="s">
        <v>108</v>
      </c>
      <c r="G92" s="65">
        <v>86.87</v>
      </c>
      <c r="H92" s="65">
        <v>233.09</v>
      </c>
      <c r="I92" s="65">
        <v>0</v>
      </c>
      <c r="J92" s="65">
        <v>0</v>
      </c>
      <c r="K92" s="65">
        <v>0</v>
      </c>
      <c r="L92" s="65">
        <f>K92</f>
        <v>0</v>
      </c>
      <c r="M92" s="65">
        <f>L92</f>
        <v>0</v>
      </c>
    </row>
    <row r="93" spans="1:13" x14ac:dyDescent="0.25">
      <c r="A93" s="59">
        <v>1</v>
      </c>
      <c r="B93" s="59">
        <v>1</v>
      </c>
      <c r="C93" s="59">
        <v>7</v>
      </c>
      <c r="D93" s="102" t="s">
        <v>8</v>
      </c>
      <c r="E93" s="103">
        <v>41</v>
      </c>
      <c r="F93" s="103" t="s">
        <v>10</v>
      </c>
      <c r="G93" s="104">
        <f t="shared" ref="G93:M93" si="28">SUM(G89:G92)</f>
        <v>6001.62</v>
      </c>
      <c r="H93" s="104">
        <f t="shared" si="28"/>
        <v>6091.89</v>
      </c>
      <c r="I93" s="104">
        <f t="shared" si="28"/>
        <v>7784</v>
      </c>
      <c r="J93" s="104">
        <f t="shared" si="28"/>
        <v>8015.4</v>
      </c>
      <c r="K93" s="104">
        <f t="shared" si="28"/>
        <v>9106</v>
      </c>
      <c r="L93" s="104">
        <f t="shared" si="28"/>
        <v>9437</v>
      </c>
      <c r="M93" s="104">
        <f t="shared" si="28"/>
        <v>9781</v>
      </c>
    </row>
    <row r="94" spans="1:13" x14ac:dyDescent="0.25">
      <c r="A94" s="59">
        <v>1</v>
      </c>
      <c r="B94" s="59">
        <v>1</v>
      </c>
      <c r="C94" s="59">
        <v>7</v>
      </c>
      <c r="D94" s="68"/>
      <c r="E94" s="69"/>
      <c r="F94" s="66" t="s">
        <v>18</v>
      </c>
      <c r="G94" s="67">
        <f t="shared" ref="G94:M94" si="29">G88+G93</f>
        <v>10852.04</v>
      </c>
      <c r="H94" s="67">
        <f t="shared" si="29"/>
        <v>11134.490000000002</v>
      </c>
      <c r="I94" s="67">
        <f t="shared" si="29"/>
        <v>12826</v>
      </c>
      <c r="J94" s="67">
        <f t="shared" si="29"/>
        <v>13180.25</v>
      </c>
      <c r="K94" s="67">
        <f t="shared" si="29"/>
        <v>14358</v>
      </c>
      <c r="L94" s="67">
        <f t="shared" si="29"/>
        <v>14689</v>
      </c>
      <c r="M94" s="67">
        <f t="shared" si="29"/>
        <v>15033</v>
      </c>
    </row>
    <row r="96" spans="1:13" x14ac:dyDescent="0.25">
      <c r="D96" s="6" t="s">
        <v>131</v>
      </c>
      <c r="E96" s="6"/>
      <c r="F96" s="6"/>
      <c r="G96" s="6"/>
      <c r="H96" s="6"/>
      <c r="I96" s="6"/>
      <c r="J96" s="6"/>
      <c r="K96" s="6"/>
      <c r="L96" s="6"/>
      <c r="M96" s="6"/>
    </row>
    <row r="97" spans="1:13" x14ac:dyDescent="0.25">
      <c r="D97" s="63" t="s">
        <v>20</v>
      </c>
      <c r="E97" s="63" t="s">
        <v>21</v>
      </c>
      <c r="F97" s="63" t="s">
        <v>22</v>
      </c>
      <c r="G97" s="63" t="s">
        <v>1</v>
      </c>
      <c r="H97" s="63" t="s">
        <v>2</v>
      </c>
      <c r="I97" s="63" t="s">
        <v>3</v>
      </c>
      <c r="J97" s="63" t="s">
        <v>4</v>
      </c>
      <c r="K97" s="63" t="s">
        <v>5</v>
      </c>
      <c r="L97" s="63" t="s">
        <v>6</v>
      </c>
      <c r="M97" s="63" t="s">
        <v>7</v>
      </c>
    </row>
    <row r="98" spans="1:13" x14ac:dyDescent="0.25">
      <c r="A98" s="59">
        <v>1</v>
      </c>
      <c r="B98" s="59">
        <v>2</v>
      </c>
      <c r="D98" s="64" t="s">
        <v>104</v>
      </c>
      <c r="E98" s="64">
        <v>640</v>
      </c>
      <c r="F98" s="64" t="s">
        <v>71</v>
      </c>
      <c r="G98" s="65">
        <f>319.87+113.75+2945.31</f>
        <v>3378.93</v>
      </c>
      <c r="H98" s="65">
        <v>2936.01</v>
      </c>
      <c r="I98" s="65">
        <v>2936</v>
      </c>
      <c r="J98" s="65">
        <v>3366.62</v>
      </c>
      <c r="K98" s="65">
        <v>3366</v>
      </c>
      <c r="L98" s="65">
        <f>K98</f>
        <v>3366</v>
      </c>
      <c r="M98" s="65">
        <f>L98</f>
        <v>3366</v>
      </c>
    </row>
    <row r="99" spans="1:13" x14ac:dyDescent="0.25">
      <c r="A99" s="59">
        <v>1</v>
      </c>
      <c r="B99" s="59">
        <v>2</v>
      </c>
      <c r="D99" s="102" t="s">
        <v>8</v>
      </c>
      <c r="E99" s="103">
        <v>111</v>
      </c>
      <c r="F99" s="103" t="s">
        <v>130</v>
      </c>
      <c r="G99" s="104">
        <f t="shared" ref="G99:M99" si="30">SUM(G98)</f>
        <v>3378.93</v>
      </c>
      <c r="H99" s="104">
        <f t="shared" si="30"/>
        <v>2936.01</v>
      </c>
      <c r="I99" s="104">
        <f t="shared" si="30"/>
        <v>2936</v>
      </c>
      <c r="J99" s="104">
        <f t="shared" si="30"/>
        <v>3366.62</v>
      </c>
      <c r="K99" s="104">
        <f t="shared" si="30"/>
        <v>3366</v>
      </c>
      <c r="L99" s="104">
        <f t="shared" si="30"/>
        <v>3366</v>
      </c>
      <c r="M99" s="104">
        <f t="shared" si="30"/>
        <v>3366</v>
      </c>
    </row>
    <row r="100" spans="1:13" x14ac:dyDescent="0.25">
      <c r="A100" s="59">
        <v>1</v>
      </c>
      <c r="B100" s="59">
        <v>2</v>
      </c>
      <c r="D100" s="77" t="s">
        <v>132</v>
      </c>
      <c r="E100" s="64">
        <v>640</v>
      </c>
      <c r="F100" s="64" t="s">
        <v>133</v>
      </c>
      <c r="G100" s="65">
        <v>983.33</v>
      </c>
      <c r="H100" s="65">
        <v>447</v>
      </c>
      <c r="I100" s="65">
        <v>0</v>
      </c>
      <c r="J100" s="65">
        <v>94.56</v>
      </c>
      <c r="K100" s="65">
        <v>0</v>
      </c>
      <c r="L100" s="65">
        <v>0</v>
      </c>
      <c r="M100" s="65">
        <v>0</v>
      </c>
    </row>
    <row r="101" spans="1:13" x14ac:dyDescent="0.25">
      <c r="A101" s="59">
        <v>1</v>
      </c>
      <c r="B101" s="59">
        <v>2</v>
      </c>
      <c r="D101" s="77" t="s">
        <v>134</v>
      </c>
      <c r="E101" s="64">
        <v>640</v>
      </c>
      <c r="F101" s="64" t="s">
        <v>135</v>
      </c>
      <c r="G101" s="65">
        <v>351.72</v>
      </c>
      <c r="H101" s="65">
        <v>376.16</v>
      </c>
      <c r="I101" s="65">
        <v>406</v>
      </c>
      <c r="J101" s="65">
        <v>406.14</v>
      </c>
      <c r="K101" s="65">
        <v>406</v>
      </c>
      <c r="L101" s="65">
        <f>K101</f>
        <v>406</v>
      </c>
      <c r="M101" s="65">
        <f>L101</f>
        <v>406</v>
      </c>
    </row>
    <row r="102" spans="1:13" x14ac:dyDescent="0.25">
      <c r="A102" s="59">
        <v>1</v>
      </c>
      <c r="B102" s="59">
        <v>2</v>
      </c>
      <c r="D102" s="64" t="s">
        <v>104</v>
      </c>
      <c r="E102" s="64">
        <v>640</v>
      </c>
      <c r="F102" s="64" t="s">
        <v>71</v>
      </c>
      <c r="G102" s="65">
        <f>9389.01+3334.73+413.17+3052</f>
        <v>16188.91</v>
      </c>
      <c r="H102" s="65">
        <v>6981.99</v>
      </c>
      <c r="I102" s="65">
        <v>7444</v>
      </c>
      <c r="J102" s="65">
        <v>7642.98</v>
      </c>
      <c r="K102" s="65">
        <v>7643</v>
      </c>
      <c r="L102" s="65">
        <f>K102</f>
        <v>7643</v>
      </c>
      <c r="M102" s="65">
        <f>L102</f>
        <v>7643</v>
      </c>
    </row>
    <row r="103" spans="1:13" x14ac:dyDescent="0.25">
      <c r="A103" s="59">
        <v>1</v>
      </c>
      <c r="B103" s="59">
        <v>2</v>
      </c>
      <c r="D103" s="102" t="s">
        <v>8</v>
      </c>
      <c r="E103" s="103">
        <v>41</v>
      </c>
      <c r="F103" s="103" t="s">
        <v>10</v>
      </c>
      <c r="G103" s="104">
        <f t="shared" ref="G103:M103" si="31">SUM(G100:G102)</f>
        <v>17523.96</v>
      </c>
      <c r="H103" s="104">
        <f t="shared" si="31"/>
        <v>7805.15</v>
      </c>
      <c r="I103" s="104">
        <f t="shared" si="31"/>
        <v>7850</v>
      </c>
      <c r="J103" s="104">
        <f t="shared" si="31"/>
        <v>8143.6799999999994</v>
      </c>
      <c r="K103" s="104">
        <f t="shared" si="31"/>
        <v>8049</v>
      </c>
      <c r="L103" s="104">
        <f t="shared" si="31"/>
        <v>8049</v>
      </c>
      <c r="M103" s="104">
        <f t="shared" si="31"/>
        <v>8049</v>
      </c>
    </row>
    <row r="104" spans="1:13" x14ac:dyDescent="0.25">
      <c r="A104" s="59">
        <v>1</v>
      </c>
      <c r="B104" s="59">
        <v>2</v>
      </c>
      <c r="D104" s="68"/>
      <c r="E104" s="69"/>
      <c r="F104" s="66" t="s">
        <v>18</v>
      </c>
      <c r="G104" s="67">
        <f t="shared" ref="G104:M104" si="32">G99+G103</f>
        <v>20902.89</v>
      </c>
      <c r="H104" s="67">
        <f t="shared" si="32"/>
        <v>10741.16</v>
      </c>
      <c r="I104" s="67">
        <f t="shared" si="32"/>
        <v>10786</v>
      </c>
      <c r="J104" s="67">
        <f t="shared" si="32"/>
        <v>11510.3</v>
      </c>
      <c r="K104" s="67">
        <f t="shared" si="32"/>
        <v>11415</v>
      </c>
      <c r="L104" s="67">
        <f t="shared" si="32"/>
        <v>11415</v>
      </c>
      <c r="M104" s="67">
        <f t="shared" si="32"/>
        <v>11415</v>
      </c>
    </row>
    <row r="106" spans="1:13" x14ac:dyDescent="0.25">
      <c r="D106" s="6" t="s">
        <v>136</v>
      </c>
      <c r="E106" s="6"/>
      <c r="F106" s="6"/>
      <c r="G106" s="6"/>
      <c r="H106" s="6"/>
      <c r="I106" s="6"/>
      <c r="J106" s="6"/>
      <c r="K106" s="6"/>
      <c r="L106" s="6"/>
      <c r="M106" s="6"/>
    </row>
    <row r="107" spans="1:13" x14ac:dyDescent="0.25">
      <c r="D107" s="63" t="s">
        <v>20</v>
      </c>
      <c r="E107" s="63" t="s">
        <v>21</v>
      </c>
      <c r="F107" s="63" t="s">
        <v>22</v>
      </c>
      <c r="G107" s="63" t="s">
        <v>1</v>
      </c>
      <c r="H107" s="63" t="s">
        <v>2</v>
      </c>
      <c r="I107" s="63" t="s">
        <v>3</v>
      </c>
      <c r="J107" s="63" t="s">
        <v>4</v>
      </c>
      <c r="K107" s="63" t="s">
        <v>5</v>
      </c>
      <c r="L107" s="63" t="s">
        <v>6</v>
      </c>
      <c r="M107" s="63" t="s">
        <v>7</v>
      </c>
    </row>
    <row r="108" spans="1:13" x14ac:dyDescent="0.25">
      <c r="A108" s="59">
        <v>1</v>
      </c>
      <c r="B108" s="59">
        <v>3</v>
      </c>
      <c r="D108" s="64" t="s">
        <v>137</v>
      </c>
      <c r="E108" s="64">
        <v>630</v>
      </c>
      <c r="F108" s="64" t="s">
        <v>138</v>
      </c>
      <c r="G108" s="65">
        <v>3290.83</v>
      </c>
      <c r="H108" s="65">
        <v>1783.4</v>
      </c>
      <c r="I108" s="65">
        <v>2900</v>
      </c>
      <c r="J108" s="65">
        <v>3176.66</v>
      </c>
      <c r="K108" s="65">
        <v>2600</v>
      </c>
      <c r="L108" s="65">
        <f t="shared" ref="L108:M112" si="33">K108</f>
        <v>2600</v>
      </c>
      <c r="M108" s="65">
        <f t="shared" si="33"/>
        <v>2600</v>
      </c>
    </row>
    <row r="109" spans="1:13" x14ac:dyDescent="0.25">
      <c r="A109" s="59">
        <v>1</v>
      </c>
      <c r="B109" s="59">
        <v>3</v>
      </c>
      <c r="D109" s="105" t="s">
        <v>139</v>
      </c>
      <c r="E109" s="64">
        <v>630</v>
      </c>
      <c r="F109" s="64" t="s">
        <v>140</v>
      </c>
      <c r="G109" s="65">
        <v>370.84</v>
      </c>
      <c r="H109" s="65">
        <v>198</v>
      </c>
      <c r="I109" s="65">
        <v>200</v>
      </c>
      <c r="J109" s="65">
        <v>187</v>
      </c>
      <c r="K109" s="65">
        <v>190</v>
      </c>
      <c r="L109" s="65">
        <f t="shared" si="33"/>
        <v>190</v>
      </c>
      <c r="M109" s="65">
        <f t="shared" si="33"/>
        <v>190</v>
      </c>
    </row>
    <row r="110" spans="1:13" x14ac:dyDescent="0.25">
      <c r="A110" s="59">
        <v>1</v>
      </c>
      <c r="B110" s="59">
        <v>3</v>
      </c>
      <c r="D110" s="2" t="s">
        <v>104</v>
      </c>
      <c r="E110" s="64">
        <v>620</v>
      </c>
      <c r="F110" s="64" t="s">
        <v>106</v>
      </c>
      <c r="G110" s="65">
        <v>0</v>
      </c>
      <c r="H110" s="65">
        <v>0</v>
      </c>
      <c r="I110" s="65">
        <v>0</v>
      </c>
      <c r="J110" s="65">
        <v>414.92</v>
      </c>
      <c r="K110" s="65">
        <v>420</v>
      </c>
      <c r="L110" s="65">
        <f t="shared" si="33"/>
        <v>420</v>
      </c>
      <c r="M110" s="65">
        <f t="shared" si="33"/>
        <v>420</v>
      </c>
    </row>
    <row r="111" spans="1:13" x14ac:dyDescent="0.25">
      <c r="A111" s="59">
        <v>1</v>
      </c>
      <c r="B111" s="59">
        <v>3</v>
      </c>
      <c r="D111" s="2" t="s">
        <v>104</v>
      </c>
      <c r="E111" s="64">
        <v>630</v>
      </c>
      <c r="F111" s="64" t="s">
        <v>107</v>
      </c>
      <c r="G111" s="65">
        <v>1712.17</v>
      </c>
      <c r="H111" s="65">
        <v>3132.73</v>
      </c>
      <c r="I111" s="65">
        <v>5100</v>
      </c>
      <c r="J111" s="65">
        <v>8176.17</v>
      </c>
      <c r="K111" s="65">
        <f>7250+2000-402+120</f>
        <v>8968</v>
      </c>
      <c r="L111" s="65">
        <f t="shared" si="33"/>
        <v>8968</v>
      </c>
      <c r="M111" s="65">
        <f t="shared" si="33"/>
        <v>8968</v>
      </c>
    </row>
    <row r="112" spans="1:13" x14ac:dyDescent="0.25">
      <c r="A112" s="59">
        <v>1</v>
      </c>
      <c r="B112" s="59">
        <v>3</v>
      </c>
      <c r="D112" s="2"/>
      <c r="E112" s="64">
        <v>640</v>
      </c>
      <c r="F112" s="64" t="s">
        <v>108</v>
      </c>
      <c r="G112" s="65">
        <v>0</v>
      </c>
      <c r="H112" s="65">
        <v>0</v>
      </c>
      <c r="I112" s="65">
        <v>200</v>
      </c>
      <c r="J112" s="65">
        <v>0</v>
      </c>
      <c r="K112" s="65">
        <v>0</v>
      </c>
      <c r="L112" s="65">
        <f t="shared" si="33"/>
        <v>0</v>
      </c>
      <c r="M112" s="65">
        <f t="shared" si="33"/>
        <v>0</v>
      </c>
    </row>
    <row r="113" spans="1:13" x14ac:dyDescent="0.25">
      <c r="A113" s="59">
        <v>1</v>
      </c>
      <c r="B113" s="59">
        <v>3</v>
      </c>
      <c r="D113" s="81" t="s">
        <v>8</v>
      </c>
      <c r="E113" s="66">
        <v>41</v>
      </c>
      <c r="F113" s="66" t="s">
        <v>10</v>
      </c>
      <c r="G113" s="67">
        <f t="shared" ref="G113:M113" si="34">SUM(G108:G112)</f>
        <v>5373.84</v>
      </c>
      <c r="H113" s="67">
        <f t="shared" si="34"/>
        <v>5114.13</v>
      </c>
      <c r="I113" s="67">
        <f t="shared" si="34"/>
        <v>8400</v>
      </c>
      <c r="J113" s="67">
        <f t="shared" si="34"/>
        <v>11954.75</v>
      </c>
      <c r="K113" s="67">
        <f t="shared" si="34"/>
        <v>12178</v>
      </c>
      <c r="L113" s="67">
        <f t="shared" si="34"/>
        <v>12178</v>
      </c>
      <c r="M113" s="67">
        <f t="shared" si="34"/>
        <v>12178</v>
      </c>
    </row>
    <row r="115" spans="1:13" x14ac:dyDescent="0.25">
      <c r="E115" s="90" t="s">
        <v>43</v>
      </c>
      <c r="F115" s="68" t="s">
        <v>123</v>
      </c>
      <c r="G115" s="91">
        <v>719.89</v>
      </c>
      <c r="H115" s="91">
        <v>820.3</v>
      </c>
      <c r="I115" s="91">
        <v>820</v>
      </c>
      <c r="J115" s="91">
        <f>616.74+187</f>
        <v>803.74</v>
      </c>
      <c r="K115" s="91">
        <f>(53+17)*11</f>
        <v>770</v>
      </c>
      <c r="L115" s="91">
        <f t="shared" ref="L115:M117" si="35">K115</f>
        <v>770</v>
      </c>
      <c r="M115" s="92">
        <f t="shared" si="35"/>
        <v>770</v>
      </c>
    </row>
    <row r="116" spans="1:13" x14ac:dyDescent="0.25">
      <c r="E116" s="93"/>
      <c r="F116" s="59" t="s">
        <v>124</v>
      </c>
      <c r="G116" s="94">
        <v>1134.26</v>
      </c>
      <c r="H116" s="94">
        <v>2004</v>
      </c>
      <c r="I116" s="94">
        <v>2000</v>
      </c>
      <c r="J116" s="94">
        <v>1692</v>
      </c>
      <c r="K116" s="94">
        <v>1298</v>
      </c>
      <c r="L116" s="94">
        <f t="shared" si="35"/>
        <v>1298</v>
      </c>
      <c r="M116" s="95">
        <f t="shared" si="35"/>
        <v>1298</v>
      </c>
    </row>
    <row r="117" spans="1:13" x14ac:dyDescent="0.25">
      <c r="E117" s="93"/>
      <c r="F117" s="106" t="s">
        <v>141</v>
      </c>
      <c r="G117" s="94">
        <f>1633.34+1167.89</f>
        <v>2801.23</v>
      </c>
      <c r="H117" s="94">
        <v>1293.4000000000001</v>
      </c>
      <c r="I117" s="94">
        <v>1500</v>
      </c>
      <c r="J117" s="94">
        <v>1863</v>
      </c>
      <c r="K117" s="94">
        <v>1800</v>
      </c>
      <c r="L117" s="94">
        <f t="shared" si="35"/>
        <v>1800</v>
      </c>
      <c r="M117" s="95">
        <f t="shared" si="35"/>
        <v>1800</v>
      </c>
    </row>
    <row r="118" spans="1:13" x14ac:dyDescent="0.25">
      <c r="E118" s="98"/>
      <c r="F118" s="99" t="s">
        <v>142</v>
      </c>
      <c r="G118" s="100"/>
      <c r="H118" s="100"/>
      <c r="I118" s="100">
        <v>2000</v>
      </c>
      <c r="J118" s="100">
        <v>445</v>
      </c>
      <c r="K118" s="100">
        <v>2000</v>
      </c>
      <c r="L118" s="100"/>
      <c r="M118" s="101"/>
    </row>
    <row r="119" spans="1:13" x14ac:dyDescent="0.25">
      <c r="G119" s="94"/>
      <c r="H119" s="94"/>
      <c r="I119" s="94"/>
      <c r="J119" s="94"/>
      <c r="K119" s="94"/>
      <c r="L119" s="94"/>
      <c r="M119" s="94"/>
    </row>
    <row r="120" spans="1:13" x14ac:dyDescent="0.25">
      <c r="D120" s="6" t="s">
        <v>143</v>
      </c>
      <c r="E120" s="6"/>
      <c r="F120" s="6"/>
      <c r="G120" s="6"/>
      <c r="H120" s="6"/>
      <c r="I120" s="6"/>
      <c r="J120" s="6"/>
      <c r="K120" s="6"/>
      <c r="L120" s="6"/>
      <c r="M120" s="6"/>
    </row>
    <row r="121" spans="1:13" x14ac:dyDescent="0.25">
      <c r="D121" s="63" t="s">
        <v>20</v>
      </c>
      <c r="E121" s="63" t="s">
        <v>21</v>
      </c>
      <c r="F121" s="63" t="s">
        <v>22</v>
      </c>
      <c r="G121" s="63" t="s">
        <v>1</v>
      </c>
      <c r="H121" s="63" t="s">
        <v>2</v>
      </c>
      <c r="I121" s="63" t="s">
        <v>3</v>
      </c>
      <c r="J121" s="63" t="s">
        <v>4</v>
      </c>
      <c r="K121" s="63" t="s">
        <v>5</v>
      </c>
      <c r="L121" s="63" t="s">
        <v>6</v>
      </c>
      <c r="M121" s="63" t="s">
        <v>7</v>
      </c>
    </row>
    <row r="122" spans="1:13" x14ac:dyDescent="0.25">
      <c r="A122" s="59">
        <v>1</v>
      </c>
      <c r="B122" s="59">
        <v>4</v>
      </c>
      <c r="D122" s="5" t="s">
        <v>144</v>
      </c>
      <c r="E122" s="107">
        <v>620</v>
      </c>
      <c r="F122" s="107" t="s">
        <v>106</v>
      </c>
      <c r="G122" s="80">
        <v>542.65</v>
      </c>
      <c r="H122" s="80">
        <v>74.3</v>
      </c>
      <c r="I122" s="80">
        <v>0</v>
      </c>
      <c r="J122" s="80">
        <v>46.76</v>
      </c>
      <c r="K122" s="80">
        <v>0</v>
      </c>
      <c r="L122" s="65">
        <f>K122</f>
        <v>0</v>
      </c>
      <c r="M122" s="65">
        <f>L122</f>
        <v>0</v>
      </c>
    </row>
    <row r="123" spans="1:13" x14ac:dyDescent="0.25">
      <c r="A123" s="59">
        <v>1</v>
      </c>
      <c r="B123" s="59">
        <v>4</v>
      </c>
      <c r="D123" s="5"/>
      <c r="E123" s="107">
        <v>630</v>
      </c>
      <c r="F123" s="107" t="s">
        <v>107</v>
      </c>
      <c r="G123" s="80">
        <v>6746.85</v>
      </c>
      <c r="H123" s="80">
        <v>1205.7</v>
      </c>
      <c r="I123" s="80">
        <v>2000</v>
      </c>
      <c r="J123" s="80">
        <v>1757.26</v>
      </c>
      <c r="K123" s="80">
        <v>2000</v>
      </c>
      <c r="L123" s="65">
        <v>2000</v>
      </c>
      <c r="M123" s="65">
        <v>6000</v>
      </c>
    </row>
    <row r="124" spans="1:13" x14ac:dyDescent="0.25">
      <c r="A124" s="59">
        <v>1</v>
      </c>
      <c r="B124" s="59">
        <v>4</v>
      </c>
      <c r="D124" s="108" t="s">
        <v>8</v>
      </c>
      <c r="E124" s="109">
        <v>111</v>
      </c>
      <c r="F124" s="109" t="s">
        <v>10</v>
      </c>
      <c r="G124" s="110">
        <f t="shared" ref="G124:M124" si="36">SUM(G122:G123)</f>
        <v>7289.5</v>
      </c>
      <c r="H124" s="110">
        <f t="shared" si="36"/>
        <v>1280</v>
      </c>
      <c r="I124" s="110">
        <f t="shared" si="36"/>
        <v>2000</v>
      </c>
      <c r="J124" s="110">
        <f t="shared" si="36"/>
        <v>1804.02</v>
      </c>
      <c r="K124" s="110">
        <f t="shared" si="36"/>
        <v>2000</v>
      </c>
      <c r="L124" s="110">
        <f t="shared" si="36"/>
        <v>2000</v>
      </c>
      <c r="M124" s="110">
        <f t="shared" si="36"/>
        <v>6000</v>
      </c>
    </row>
    <row r="126" spans="1:13" x14ac:dyDescent="0.25">
      <c r="D126" s="8" t="s">
        <v>145</v>
      </c>
      <c r="E126" s="8"/>
      <c r="F126" s="8"/>
      <c r="G126" s="8"/>
      <c r="H126" s="8"/>
      <c r="I126" s="8"/>
      <c r="J126" s="8"/>
      <c r="K126" s="8"/>
      <c r="L126" s="8"/>
      <c r="M126" s="8"/>
    </row>
    <row r="127" spans="1:13" x14ac:dyDescent="0.25">
      <c r="D127" s="62"/>
      <c r="E127" s="62"/>
      <c r="F127" s="62"/>
      <c r="G127" s="63" t="s">
        <v>1</v>
      </c>
      <c r="H127" s="63" t="s">
        <v>2</v>
      </c>
      <c r="I127" s="63" t="s">
        <v>3</v>
      </c>
      <c r="J127" s="63" t="s">
        <v>4</v>
      </c>
      <c r="K127" s="63" t="s">
        <v>5</v>
      </c>
      <c r="L127" s="63" t="s">
        <v>6</v>
      </c>
      <c r="M127" s="63" t="s">
        <v>7</v>
      </c>
    </row>
    <row r="128" spans="1:13" x14ac:dyDescent="0.25">
      <c r="A128" s="59">
        <v>2</v>
      </c>
      <c r="D128" s="7" t="s">
        <v>8</v>
      </c>
      <c r="E128" s="72">
        <v>111</v>
      </c>
      <c r="F128" s="72" t="s">
        <v>89</v>
      </c>
      <c r="G128" s="73">
        <f t="shared" ref="G128:M128" si="37">G137+G150+G161</f>
        <v>387855.56</v>
      </c>
      <c r="H128" s="73">
        <f t="shared" si="37"/>
        <v>401257.09</v>
      </c>
      <c r="I128" s="73">
        <f t="shared" si="37"/>
        <v>422095</v>
      </c>
      <c r="J128" s="73">
        <f t="shared" si="37"/>
        <v>426240.12</v>
      </c>
      <c r="K128" s="73">
        <f t="shared" si="37"/>
        <v>429473</v>
      </c>
      <c r="L128" s="73">
        <f t="shared" si="37"/>
        <v>429157</v>
      </c>
      <c r="M128" s="73">
        <f t="shared" si="37"/>
        <v>429157</v>
      </c>
    </row>
    <row r="129" spans="1:13" x14ac:dyDescent="0.25">
      <c r="A129" s="59">
        <v>2</v>
      </c>
      <c r="D129" s="7"/>
      <c r="E129" s="72">
        <v>41</v>
      </c>
      <c r="F129" s="72" t="s">
        <v>10</v>
      </c>
      <c r="G129" s="73">
        <f t="shared" ref="G129:M129" si="38">G142+G154+G166</f>
        <v>239995.84</v>
      </c>
      <c r="H129" s="73">
        <f t="shared" si="38"/>
        <v>224031.44999999998</v>
      </c>
      <c r="I129" s="73">
        <f t="shared" si="38"/>
        <v>247965</v>
      </c>
      <c r="J129" s="73">
        <f t="shared" si="38"/>
        <v>233190.06000000003</v>
      </c>
      <c r="K129" s="73">
        <f t="shared" si="38"/>
        <v>266283</v>
      </c>
      <c r="L129" s="73">
        <f t="shared" si="38"/>
        <v>272376</v>
      </c>
      <c r="M129" s="73">
        <f t="shared" si="38"/>
        <v>280649</v>
      </c>
    </row>
    <row r="130" spans="1:13" x14ac:dyDescent="0.25">
      <c r="A130" s="59">
        <v>2</v>
      </c>
      <c r="D130" s="68"/>
      <c r="E130" s="69"/>
      <c r="F130" s="74" t="s">
        <v>18</v>
      </c>
      <c r="G130" s="75">
        <f t="shared" ref="G130:M130" si="39">SUM(G128:G129)</f>
        <v>627851.4</v>
      </c>
      <c r="H130" s="75">
        <f t="shared" si="39"/>
        <v>625288.54</v>
      </c>
      <c r="I130" s="75">
        <f t="shared" si="39"/>
        <v>670060</v>
      </c>
      <c r="J130" s="75">
        <f t="shared" si="39"/>
        <v>659430.18000000005</v>
      </c>
      <c r="K130" s="75">
        <f t="shared" si="39"/>
        <v>695756</v>
      </c>
      <c r="L130" s="75">
        <f t="shared" si="39"/>
        <v>701533</v>
      </c>
      <c r="M130" s="75">
        <f t="shared" si="39"/>
        <v>709806</v>
      </c>
    </row>
    <row r="132" spans="1:13" x14ac:dyDescent="0.25">
      <c r="D132" s="76" t="s">
        <v>146</v>
      </c>
      <c r="E132" s="76"/>
      <c r="F132" s="76"/>
      <c r="G132" s="76"/>
      <c r="H132" s="76"/>
      <c r="I132" s="76"/>
      <c r="J132" s="76"/>
      <c r="K132" s="76"/>
      <c r="L132" s="76"/>
      <c r="M132" s="76"/>
    </row>
    <row r="133" spans="1:13" x14ac:dyDescent="0.25">
      <c r="D133" s="63" t="s">
        <v>20</v>
      </c>
      <c r="E133" s="63" t="s">
        <v>21</v>
      </c>
      <c r="F133" s="63" t="s">
        <v>22</v>
      </c>
      <c r="G133" s="63" t="s">
        <v>1</v>
      </c>
      <c r="H133" s="63" t="s">
        <v>2</v>
      </c>
      <c r="I133" s="63" t="s">
        <v>3</v>
      </c>
      <c r="J133" s="63" t="s">
        <v>4</v>
      </c>
      <c r="K133" s="63" t="s">
        <v>5</v>
      </c>
      <c r="L133" s="63" t="s">
        <v>6</v>
      </c>
      <c r="M133" s="63" t="s">
        <v>7</v>
      </c>
    </row>
    <row r="134" spans="1:13" x14ac:dyDescent="0.25">
      <c r="A134" s="59">
        <v>2</v>
      </c>
      <c r="B134" s="59">
        <v>1</v>
      </c>
      <c r="D134" s="3" t="s">
        <v>132</v>
      </c>
      <c r="E134" s="64">
        <v>610</v>
      </c>
      <c r="F134" s="64" t="s">
        <v>105</v>
      </c>
      <c r="G134" s="65">
        <v>330</v>
      </c>
      <c r="H134" s="65">
        <v>2510</v>
      </c>
      <c r="I134" s="65">
        <v>0</v>
      </c>
      <c r="J134" s="65">
        <v>1950</v>
      </c>
      <c r="K134" s="65">
        <v>0</v>
      </c>
      <c r="L134" s="65">
        <f>K134</f>
        <v>0</v>
      </c>
      <c r="M134" s="65">
        <f>L134</f>
        <v>0</v>
      </c>
    </row>
    <row r="135" spans="1:13" x14ac:dyDescent="0.25">
      <c r="A135" s="59">
        <v>2</v>
      </c>
      <c r="B135" s="59">
        <v>1</v>
      </c>
      <c r="D135" s="3"/>
      <c r="E135" s="64">
        <v>620</v>
      </c>
      <c r="F135" s="64" t="s">
        <v>106</v>
      </c>
      <c r="G135" s="65">
        <v>0</v>
      </c>
      <c r="H135" s="65">
        <v>0</v>
      </c>
      <c r="I135" s="65">
        <v>0</v>
      </c>
      <c r="J135" s="65">
        <v>681.54</v>
      </c>
      <c r="K135" s="65">
        <v>0</v>
      </c>
      <c r="L135" s="65">
        <f>K135</f>
        <v>0</v>
      </c>
      <c r="M135" s="65">
        <f>L135</f>
        <v>0</v>
      </c>
    </row>
    <row r="136" spans="1:13" x14ac:dyDescent="0.25">
      <c r="A136" s="59">
        <v>2</v>
      </c>
      <c r="B136" s="59">
        <v>1</v>
      </c>
      <c r="D136" s="3"/>
      <c r="E136" s="64">
        <v>630</v>
      </c>
      <c r="F136" s="64" t="s">
        <v>107</v>
      </c>
      <c r="G136" s="65">
        <v>4607</v>
      </c>
      <c r="H136" s="65">
        <v>2535</v>
      </c>
      <c r="I136" s="65">
        <v>5045</v>
      </c>
      <c r="J136" s="65">
        <v>1826.87</v>
      </c>
      <c r="K136" s="65">
        <v>4548</v>
      </c>
      <c r="L136" s="65">
        <v>4232</v>
      </c>
      <c r="M136" s="65">
        <f>L136</f>
        <v>4232</v>
      </c>
    </row>
    <row r="137" spans="1:13" x14ac:dyDescent="0.25">
      <c r="A137" s="59">
        <v>2</v>
      </c>
      <c r="B137" s="59">
        <v>1</v>
      </c>
      <c r="D137" s="102" t="s">
        <v>8</v>
      </c>
      <c r="E137" s="103">
        <v>111</v>
      </c>
      <c r="F137" s="103" t="s">
        <v>130</v>
      </c>
      <c r="G137" s="104">
        <f t="shared" ref="G137:M137" si="40">SUM(G134:G136)</f>
        <v>4937</v>
      </c>
      <c r="H137" s="104">
        <f t="shared" si="40"/>
        <v>5045</v>
      </c>
      <c r="I137" s="104">
        <f t="shared" si="40"/>
        <v>5045</v>
      </c>
      <c r="J137" s="104">
        <f t="shared" si="40"/>
        <v>4458.41</v>
      </c>
      <c r="K137" s="104">
        <f t="shared" si="40"/>
        <v>4548</v>
      </c>
      <c r="L137" s="104">
        <f t="shared" si="40"/>
        <v>4232</v>
      </c>
      <c r="M137" s="104">
        <f t="shared" si="40"/>
        <v>4232</v>
      </c>
    </row>
    <row r="138" spans="1:13" x14ac:dyDescent="0.25">
      <c r="A138" s="59">
        <v>2</v>
      </c>
      <c r="B138" s="59">
        <v>1</v>
      </c>
      <c r="D138" s="3" t="s">
        <v>132</v>
      </c>
      <c r="E138" s="64">
        <v>610</v>
      </c>
      <c r="F138" s="64" t="s">
        <v>105</v>
      </c>
      <c r="G138" s="65">
        <v>73875.17</v>
      </c>
      <c r="H138" s="65">
        <v>78995.490000000005</v>
      </c>
      <c r="I138" s="65">
        <v>87866</v>
      </c>
      <c r="J138" s="65">
        <v>89784.2</v>
      </c>
      <c r="K138" s="65">
        <v>93544</v>
      </c>
      <c r="L138" s="65">
        <v>99007</v>
      </c>
      <c r="M138" s="65">
        <v>104798</v>
      </c>
    </row>
    <row r="139" spans="1:13" x14ac:dyDescent="0.25">
      <c r="A139" s="59">
        <v>2</v>
      </c>
      <c r="B139" s="59">
        <v>1</v>
      </c>
      <c r="D139" s="3"/>
      <c r="E139" s="64">
        <v>620</v>
      </c>
      <c r="F139" s="64" t="s">
        <v>106</v>
      </c>
      <c r="G139" s="65">
        <v>26752.31</v>
      </c>
      <c r="H139" s="65">
        <v>29921.59</v>
      </c>
      <c r="I139" s="65">
        <v>32467</v>
      </c>
      <c r="J139" s="65">
        <v>33111.050000000003</v>
      </c>
      <c r="K139" s="65">
        <v>34563</v>
      </c>
      <c r="L139" s="65">
        <v>36583</v>
      </c>
      <c r="M139" s="65">
        <v>38723</v>
      </c>
    </row>
    <row r="140" spans="1:13" x14ac:dyDescent="0.25">
      <c r="A140" s="59">
        <v>2</v>
      </c>
      <c r="B140" s="59">
        <v>1</v>
      </c>
      <c r="D140" s="3"/>
      <c r="E140" s="64">
        <v>630</v>
      </c>
      <c r="F140" s="64" t="s">
        <v>107</v>
      </c>
      <c r="G140" s="65">
        <v>10244.17</v>
      </c>
      <c r="H140" s="65">
        <v>11143.52</v>
      </c>
      <c r="I140" s="65">
        <v>10922</v>
      </c>
      <c r="J140" s="65">
        <v>11608.63</v>
      </c>
      <c r="K140" s="65">
        <f>6182+4430+2432</f>
        <v>13044</v>
      </c>
      <c r="L140" s="65">
        <f>6956+4430</f>
        <v>11386</v>
      </c>
      <c r="M140" s="65">
        <f>7015+4430</f>
        <v>11445</v>
      </c>
    </row>
    <row r="141" spans="1:13" x14ac:dyDescent="0.25">
      <c r="A141" s="59">
        <v>2</v>
      </c>
      <c r="B141" s="59">
        <v>1</v>
      </c>
      <c r="D141" s="3"/>
      <c r="E141" s="64">
        <v>640</v>
      </c>
      <c r="F141" s="64" t="s">
        <v>108</v>
      </c>
      <c r="G141" s="65">
        <v>604.67999999999995</v>
      </c>
      <c r="H141" s="65">
        <v>0</v>
      </c>
      <c r="I141" s="65">
        <v>0</v>
      </c>
      <c r="J141" s="65">
        <v>0</v>
      </c>
      <c r="K141" s="65">
        <v>0</v>
      </c>
      <c r="L141" s="65">
        <v>0</v>
      </c>
      <c r="M141" s="65">
        <v>0</v>
      </c>
    </row>
    <row r="142" spans="1:13" x14ac:dyDescent="0.25">
      <c r="A142" s="59">
        <v>2</v>
      </c>
      <c r="B142" s="59">
        <v>1</v>
      </c>
      <c r="D142" s="102" t="s">
        <v>8</v>
      </c>
      <c r="E142" s="103">
        <v>41</v>
      </c>
      <c r="F142" s="103" t="s">
        <v>10</v>
      </c>
      <c r="G142" s="104">
        <f t="shared" ref="G142:M142" si="41">SUM(G138:G141)</f>
        <v>111476.32999999999</v>
      </c>
      <c r="H142" s="104">
        <f t="shared" si="41"/>
        <v>120060.6</v>
      </c>
      <c r="I142" s="104">
        <f t="shared" si="41"/>
        <v>131255</v>
      </c>
      <c r="J142" s="104">
        <f t="shared" si="41"/>
        <v>134503.88</v>
      </c>
      <c r="K142" s="104">
        <f t="shared" si="41"/>
        <v>141151</v>
      </c>
      <c r="L142" s="104">
        <f t="shared" si="41"/>
        <v>146976</v>
      </c>
      <c r="M142" s="104">
        <f t="shared" si="41"/>
        <v>154966</v>
      </c>
    </row>
    <row r="143" spans="1:13" x14ac:dyDescent="0.25">
      <c r="A143" s="59">
        <v>2</v>
      </c>
      <c r="B143" s="59">
        <v>1</v>
      </c>
      <c r="D143" s="68"/>
      <c r="E143" s="69"/>
      <c r="F143" s="66" t="s">
        <v>18</v>
      </c>
      <c r="G143" s="67">
        <f t="shared" ref="G143:M143" si="42">G137+G142</f>
        <v>116413.32999999999</v>
      </c>
      <c r="H143" s="67">
        <f t="shared" si="42"/>
        <v>125105.60000000001</v>
      </c>
      <c r="I143" s="67">
        <f t="shared" si="42"/>
        <v>136300</v>
      </c>
      <c r="J143" s="67">
        <f t="shared" si="42"/>
        <v>138962.29</v>
      </c>
      <c r="K143" s="67">
        <f t="shared" si="42"/>
        <v>145699</v>
      </c>
      <c r="L143" s="67">
        <f t="shared" si="42"/>
        <v>151208</v>
      </c>
      <c r="M143" s="67">
        <f t="shared" si="42"/>
        <v>159198</v>
      </c>
    </row>
    <row r="145" spans="1:13" x14ac:dyDescent="0.25">
      <c r="D145" s="76" t="s">
        <v>147</v>
      </c>
      <c r="E145" s="76"/>
      <c r="F145" s="76"/>
      <c r="G145" s="76"/>
      <c r="H145" s="76"/>
      <c r="I145" s="76"/>
      <c r="J145" s="76"/>
      <c r="K145" s="76"/>
      <c r="L145" s="76"/>
      <c r="M145" s="76"/>
    </row>
    <row r="146" spans="1:13" x14ac:dyDescent="0.25">
      <c r="D146" s="63" t="s">
        <v>20</v>
      </c>
      <c r="E146" s="63" t="s">
        <v>21</v>
      </c>
      <c r="F146" s="63" t="s">
        <v>22</v>
      </c>
      <c r="G146" s="63" t="s">
        <v>1</v>
      </c>
      <c r="H146" s="63" t="s">
        <v>2</v>
      </c>
      <c r="I146" s="63" t="s">
        <v>3</v>
      </c>
      <c r="J146" s="63" t="s">
        <v>4</v>
      </c>
      <c r="K146" s="63" t="s">
        <v>5</v>
      </c>
      <c r="L146" s="63" t="s">
        <v>6</v>
      </c>
      <c r="M146" s="63" t="s">
        <v>7</v>
      </c>
    </row>
    <row r="147" spans="1:13" x14ac:dyDescent="0.25">
      <c r="A147" s="59">
        <v>2</v>
      </c>
      <c r="B147" s="59">
        <v>2</v>
      </c>
      <c r="D147" s="2" t="s">
        <v>148</v>
      </c>
      <c r="E147" s="64">
        <v>630</v>
      </c>
      <c r="F147" s="64" t="s">
        <v>107</v>
      </c>
      <c r="G147" s="65">
        <v>19300</v>
      </c>
      <c r="H147" s="65">
        <v>57.39</v>
      </c>
      <c r="I147" s="65">
        <v>0</v>
      </c>
      <c r="J147" s="65">
        <v>2850</v>
      </c>
      <c r="K147" s="65">
        <v>0</v>
      </c>
      <c r="L147" s="65">
        <f t="shared" ref="L147:M149" si="43">K147</f>
        <v>0</v>
      </c>
      <c r="M147" s="65">
        <f t="shared" si="43"/>
        <v>0</v>
      </c>
    </row>
    <row r="148" spans="1:13" x14ac:dyDescent="0.25">
      <c r="A148" s="59">
        <v>2</v>
      </c>
      <c r="B148" s="59">
        <v>2</v>
      </c>
      <c r="D148" s="2"/>
      <c r="E148" s="64">
        <v>640</v>
      </c>
      <c r="F148" s="64" t="s">
        <v>108</v>
      </c>
      <c r="G148" s="65">
        <v>1162</v>
      </c>
      <c r="H148" s="65">
        <v>1029.2</v>
      </c>
      <c r="I148" s="65">
        <v>1000</v>
      </c>
      <c r="J148" s="65">
        <v>564.4</v>
      </c>
      <c r="K148" s="65">
        <v>560</v>
      </c>
      <c r="L148" s="65">
        <f t="shared" si="43"/>
        <v>560</v>
      </c>
      <c r="M148" s="65">
        <f t="shared" si="43"/>
        <v>560</v>
      </c>
    </row>
    <row r="149" spans="1:13" x14ac:dyDescent="0.25">
      <c r="A149" s="59">
        <v>2</v>
      </c>
      <c r="B149" s="59">
        <v>2</v>
      </c>
      <c r="D149" s="2"/>
      <c r="E149" s="64" t="s">
        <v>41</v>
      </c>
      <c r="F149" s="64" t="s">
        <v>9</v>
      </c>
      <c r="G149" s="65">
        <f>437444.92-G153</f>
        <v>360711.56</v>
      </c>
      <c r="H149" s="65">
        <f>464942.5-H153</f>
        <v>394063.5</v>
      </c>
      <c r="I149" s="65">
        <v>415330</v>
      </c>
      <c r="J149" s="80">
        <v>417586.31</v>
      </c>
      <c r="K149" s="65">
        <v>423585</v>
      </c>
      <c r="L149" s="65">
        <f t="shared" si="43"/>
        <v>423585</v>
      </c>
      <c r="M149" s="65">
        <f t="shared" si="43"/>
        <v>423585</v>
      </c>
    </row>
    <row r="150" spans="1:13" x14ac:dyDescent="0.25">
      <c r="A150" s="59">
        <v>2</v>
      </c>
      <c r="B150" s="59">
        <v>2</v>
      </c>
      <c r="D150" s="102" t="s">
        <v>8</v>
      </c>
      <c r="E150" s="103">
        <v>111</v>
      </c>
      <c r="F150" s="103" t="s">
        <v>130</v>
      </c>
      <c r="G150" s="104">
        <f t="shared" ref="G150:M150" si="44">SUM(G147:G149)</f>
        <v>381173.56</v>
      </c>
      <c r="H150" s="104">
        <f t="shared" si="44"/>
        <v>395150.09</v>
      </c>
      <c r="I150" s="104">
        <f t="shared" si="44"/>
        <v>416330</v>
      </c>
      <c r="J150" s="104">
        <f t="shared" si="44"/>
        <v>421000.71</v>
      </c>
      <c r="K150" s="104">
        <f t="shared" si="44"/>
        <v>424145</v>
      </c>
      <c r="L150" s="104">
        <f t="shared" si="44"/>
        <v>424145</v>
      </c>
      <c r="M150" s="104">
        <f t="shared" si="44"/>
        <v>424145</v>
      </c>
    </row>
    <row r="151" spans="1:13" x14ac:dyDescent="0.25">
      <c r="A151" s="59">
        <v>2</v>
      </c>
      <c r="B151" s="59">
        <v>2</v>
      </c>
      <c r="D151" s="2" t="s">
        <v>148</v>
      </c>
      <c r="E151" s="64">
        <v>630</v>
      </c>
      <c r="F151" s="64" t="s">
        <v>107</v>
      </c>
      <c r="G151" s="65">
        <v>10831.57</v>
      </c>
      <c r="H151" s="65">
        <v>3257.43</v>
      </c>
      <c r="I151" s="65">
        <v>3356</v>
      </c>
      <c r="J151" s="65">
        <v>2669.87</v>
      </c>
      <c r="K151" s="65">
        <v>2800</v>
      </c>
      <c r="L151" s="65">
        <f t="shared" ref="L151:M153" si="45">K151</f>
        <v>2800</v>
      </c>
      <c r="M151" s="65">
        <f t="shared" si="45"/>
        <v>2800</v>
      </c>
    </row>
    <row r="152" spans="1:13" x14ac:dyDescent="0.25">
      <c r="A152" s="59">
        <v>2</v>
      </c>
      <c r="B152" s="59">
        <v>2</v>
      </c>
      <c r="D152" s="2"/>
      <c r="E152" s="64">
        <v>640</v>
      </c>
      <c r="F152" s="64" t="s">
        <v>108</v>
      </c>
      <c r="G152" s="65">
        <v>1048.92</v>
      </c>
      <c r="H152" s="65">
        <v>893.27</v>
      </c>
      <c r="I152" s="65">
        <v>900</v>
      </c>
      <c r="J152" s="65">
        <v>777.29</v>
      </c>
      <c r="K152" s="65">
        <v>120</v>
      </c>
      <c r="L152" s="65">
        <f t="shared" si="45"/>
        <v>120</v>
      </c>
      <c r="M152" s="65">
        <f t="shared" si="45"/>
        <v>120</v>
      </c>
    </row>
    <row r="153" spans="1:13" x14ac:dyDescent="0.25">
      <c r="A153" s="59">
        <v>2</v>
      </c>
      <c r="B153" s="59">
        <v>2</v>
      </c>
      <c r="D153" s="2"/>
      <c r="E153" s="64" t="s">
        <v>41</v>
      </c>
      <c r="F153" s="64" t="s">
        <v>149</v>
      </c>
      <c r="G153" s="65">
        <v>76733.36</v>
      </c>
      <c r="H153" s="65">
        <v>70879</v>
      </c>
      <c r="I153" s="65">
        <f>75403+5027</f>
        <v>80430</v>
      </c>
      <c r="J153" s="65">
        <v>74439.17</v>
      </c>
      <c r="K153" s="65">
        <v>88930</v>
      </c>
      <c r="L153" s="65">
        <f t="shared" si="45"/>
        <v>88930</v>
      </c>
      <c r="M153" s="65">
        <f t="shared" si="45"/>
        <v>88930</v>
      </c>
    </row>
    <row r="154" spans="1:13" x14ac:dyDescent="0.25">
      <c r="A154" s="59">
        <v>2</v>
      </c>
      <c r="B154" s="59">
        <v>2</v>
      </c>
      <c r="D154" s="102" t="s">
        <v>8</v>
      </c>
      <c r="E154" s="103">
        <v>41</v>
      </c>
      <c r="F154" s="103" t="s">
        <v>10</v>
      </c>
      <c r="G154" s="104">
        <f t="shared" ref="G154:M154" si="46">SUM(G151:G153)</f>
        <v>88613.85</v>
      </c>
      <c r="H154" s="104">
        <f t="shared" si="46"/>
        <v>75029.7</v>
      </c>
      <c r="I154" s="104">
        <f t="shared" si="46"/>
        <v>84686</v>
      </c>
      <c r="J154" s="104">
        <f t="shared" si="46"/>
        <v>77886.33</v>
      </c>
      <c r="K154" s="104">
        <f t="shared" si="46"/>
        <v>91850</v>
      </c>
      <c r="L154" s="104">
        <f t="shared" si="46"/>
        <v>91850</v>
      </c>
      <c r="M154" s="104">
        <f t="shared" si="46"/>
        <v>91850</v>
      </c>
    </row>
    <row r="155" spans="1:13" x14ac:dyDescent="0.25">
      <c r="A155" s="59">
        <v>2</v>
      </c>
      <c r="B155" s="59">
        <v>2</v>
      </c>
      <c r="D155" s="68"/>
      <c r="E155" s="69"/>
      <c r="F155" s="66" t="s">
        <v>18</v>
      </c>
      <c r="G155" s="67">
        <f t="shared" ref="G155:M155" si="47">G150+G154</f>
        <v>469787.41000000003</v>
      </c>
      <c r="H155" s="67">
        <f t="shared" si="47"/>
        <v>470179.79000000004</v>
      </c>
      <c r="I155" s="67">
        <f t="shared" si="47"/>
        <v>501016</v>
      </c>
      <c r="J155" s="67">
        <f t="shared" si="47"/>
        <v>498887.04000000004</v>
      </c>
      <c r="K155" s="67">
        <f t="shared" si="47"/>
        <v>515995</v>
      </c>
      <c r="L155" s="67">
        <f t="shared" si="47"/>
        <v>515995</v>
      </c>
      <c r="M155" s="67">
        <f t="shared" si="47"/>
        <v>515995</v>
      </c>
    </row>
    <row r="157" spans="1:13" x14ac:dyDescent="0.25">
      <c r="D157" s="76" t="s">
        <v>150</v>
      </c>
      <c r="E157" s="76"/>
      <c r="F157" s="76"/>
      <c r="G157" s="76"/>
      <c r="H157" s="76"/>
      <c r="I157" s="76"/>
      <c r="J157" s="76"/>
      <c r="K157" s="76"/>
      <c r="L157" s="76"/>
      <c r="M157" s="76"/>
    </row>
    <row r="158" spans="1:13" x14ac:dyDescent="0.25">
      <c r="D158" s="63" t="s">
        <v>20</v>
      </c>
      <c r="E158" s="63" t="s">
        <v>21</v>
      </c>
      <c r="F158" s="63" t="s">
        <v>22</v>
      </c>
      <c r="G158" s="63" t="s">
        <v>1</v>
      </c>
      <c r="H158" s="63" t="s">
        <v>2</v>
      </c>
      <c r="I158" s="63" t="s">
        <v>3</v>
      </c>
      <c r="J158" s="63" t="s">
        <v>4</v>
      </c>
      <c r="K158" s="63" t="s">
        <v>5</v>
      </c>
      <c r="L158" s="63" t="s">
        <v>6</v>
      </c>
      <c r="M158" s="63" t="s">
        <v>7</v>
      </c>
    </row>
    <row r="159" spans="1:13" x14ac:dyDescent="0.25">
      <c r="A159" s="59">
        <v>2</v>
      </c>
      <c r="B159" s="59">
        <v>3</v>
      </c>
      <c r="D159" s="2" t="s">
        <v>151</v>
      </c>
      <c r="E159" s="64">
        <v>610</v>
      </c>
      <c r="F159" s="64" t="s">
        <v>105</v>
      </c>
      <c r="G159" s="65">
        <v>1745</v>
      </c>
      <c r="H159" s="65">
        <v>1062</v>
      </c>
      <c r="I159" s="65">
        <v>0</v>
      </c>
      <c r="J159" s="65">
        <v>0</v>
      </c>
      <c r="K159" s="65">
        <f>J159</f>
        <v>0</v>
      </c>
      <c r="L159" s="65">
        <f>K159</f>
        <v>0</v>
      </c>
      <c r="M159" s="65">
        <f>L159</f>
        <v>0</v>
      </c>
    </row>
    <row r="160" spans="1:13" x14ac:dyDescent="0.25">
      <c r="A160" s="59">
        <v>2</v>
      </c>
      <c r="B160" s="59">
        <v>3</v>
      </c>
      <c r="D160" s="2"/>
      <c r="E160" s="64">
        <v>630</v>
      </c>
      <c r="F160" s="64" t="s">
        <v>107</v>
      </c>
      <c r="G160" s="65">
        <v>0</v>
      </c>
      <c r="H160" s="65">
        <v>0</v>
      </c>
      <c r="I160" s="65">
        <v>720</v>
      </c>
      <c r="J160" s="65">
        <v>781</v>
      </c>
      <c r="K160" s="65">
        <v>780</v>
      </c>
      <c r="L160" s="65">
        <f>K160</f>
        <v>780</v>
      </c>
      <c r="M160" s="65">
        <f>L160</f>
        <v>780</v>
      </c>
    </row>
    <row r="161" spans="1:13" x14ac:dyDescent="0.25">
      <c r="A161" s="59">
        <v>2</v>
      </c>
      <c r="B161" s="59">
        <v>3</v>
      </c>
      <c r="D161" s="102" t="s">
        <v>8</v>
      </c>
      <c r="E161" s="103">
        <v>111</v>
      </c>
      <c r="F161" s="103" t="s">
        <v>130</v>
      </c>
      <c r="G161" s="104">
        <f t="shared" ref="G161:M161" si="48">SUM(G159:G160)</f>
        <v>1745</v>
      </c>
      <c r="H161" s="104">
        <f t="shared" si="48"/>
        <v>1062</v>
      </c>
      <c r="I161" s="104">
        <f t="shared" si="48"/>
        <v>720</v>
      </c>
      <c r="J161" s="104">
        <f t="shared" si="48"/>
        <v>781</v>
      </c>
      <c r="K161" s="104">
        <f t="shared" si="48"/>
        <v>780</v>
      </c>
      <c r="L161" s="104">
        <f t="shared" si="48"/>
        <v>780</v>
      </c>
      <c r="M161" s="104">
        <f t="shared" si="48"/>
        <v>780</v>
      </c>
    </row>
    <row r="162" spans="1:13" x14ac:dyDescent="0.25">
      <c r="A162" s="59">
        <v>2</v>
      </c>
      <c r="B162" s="59">
        <v>3</v>
      </c>
      <c r="D162" s="3" t="s">
        <v>151</v>
      </c>
      <c r="E162" s="64">
        <v>610</v>
      </c>
      <c r="F162" s="64" t="s">
        <v>105</v>
      </c>
      <c r="G162" s="65">
        <v>21516</v>
      </c>
      <c r="H162" s="65">
        <v>13010.75</v>
      </c>
      <c r="I162" s="65">
        <v>5794</v>
      </c>
      <c r="J162" s="65">
        <v>4286.6099999999997</v>
      </c>
      <c r="K162" s="65">
        <v>5240</v>
      </c>
      <c r="L162" s="65">
        <v>5447</v>
      </c>
      <c r="M162" s="65">
        <v>5663</v>
      </c>
    </row>
    <row r="163" spans="1:13" x14ac:dyDescent="0.25">
      <c r="A163" s="59">
        <v>2</v>
      </c>
      <c r="B163" s="59">
        <v>3</v>
      </c>
      <c r="D163" s="3"/>
      <c r="E163" s="64">
        <v>620</v>
      </c>
      <c r="F163" s="64" t="s">
        <v>106</v>
      </c>
      <c r="G163" s="65">
        <v>9113.81</v>
      </c>
      <c r="H163" s="65">
        <v>6167.85</v>
      </c>
      <c r="I163" s="65">
        <v>6135</v>
      </c>
      <c r="J163" s="65">
        <v>4413.91</v>
      </c>
      <c r="K163" s="65">
        <v>5120</v>
      </c>
      <c r="L163" s="65">
        <v>5181</v>
      </c>
      <c r="M163" s="65">
        <v>5248</v>
      </c>
    </row>
    <row r="164" spans="1:13" x14ac:dyDescent="0.25">
      <c r="A164" s="59">
        <v>2</v>
      </c>
      <c r="B164" s="59">
        <v>3</v>
      </c>
      <c r="D164" s="3"/>
      <c r="E164" s="64">
        <v>630</v>
      </c>
      <c r="F164" s="64" t="s">
        <v>107</v>
      </c>
      <c r="G164" s="65">
        <v>9275.85</v>
      </c>
      <c r="H164" s="65">
        <v>8536.3799999999992</v>
      </c>
      <c r="I164" s="65">
        <v>17595</v>
      </c>
      <c r="J164" s="65">
        <v>10503.33</v>
      </c>
      <c r="K164" s="65">
        <f>10911+3200+6023+1337</f>
        <v>21471</v>
      </c>
      <c r="L164" s="65">
        <f>K164</f>
        <v>21471</v>
      </c>
      <c r="M164" s="65">
        <f>L164</f>
        <v>21471</v>
      </c>
    </row>
    <row r="165" spans="1:13" x14ac:dyDescent="0.25">
      <c r="A165" s="59">
        <v>2</v>
      </c>
      <c r="B165" s="59">
        <v>3</v>
      </c>
      <c r="D165" s="3"/>
      <c r="E165" s="64">
        <v>640</v>
      </c>
      <c r="F165" s="64" t="s">
        <v>108</v>
      </c>
      <c r="G165" s="65">
        <v>0</v>
      </c>
      <c r="H165" s="65">
        <v>1226.17</v>
      </c>
      <c r="I165" s="65">
        <v>2500</v>
      </c>
      <c r="J165" s="65">
        <v>1596</v>
      </c>
      <c r="K165" s="65">
        <v>1451</v>
      </c>
      <c r="L165" s="65">
        <f>K165</f>
        <v>1451</v>
      </c>
      <c r="M165" s="65">
        <f>L165</f>
        <v>1451</v>
      </c>
    </row>
    <row r="166" spans="1:13" x14ac:dyDescent="0.25">
      <c r="A166" s="59">
        <v>2</v>
      </c>
      <c r="B166" s="59">
        <v>3</v>
      </c>
      <c r="D166" s="102" t="s">
        <v>8</v>
      </c>
      <c r="E166" s="103">
        <v>41</v>
      </c>
      <c r="F166" s="103" t="s">
        <v>10</v>
      </c>
      <c r="G166" s="104">
        <f t="shared" ref="G166:M166" si="49">SUM(G162:G165)</f>
        <v>39905.659999999996</v>
      </c>
      <c r="H166" s="104">
        <f t="shared" si="49"/>
        <v>28941.149999999994</v>
      </c>
      <c r="I166" s="104">
        <f t="shared" si="49"/>
        <v>32024</v>
      </c>
      <c r="J166" s="104">
        <f t="shared" si="49"/>
        <v>20799.849999999999</v>
      </c>
      <c r="K166" s="104">
        <f t="shared" si="49"/>
        <v>33282</v>
      </c>
      <c r="L166" s="104">
        <f t="shared" si="49"/>
        <v>33550</v>
      </c>
      <c r="M166" s="104">
        <f t="shared" si="49"/>
        <v>33833</v>
      </c>
    </row>
    <row r="167" spans="1:13" x14ac:dyDescent="0.25">
      <c r="A167" s="59">
        <v>2</v>
      </c>
      <c r="B167" s="59">
        <v>3</v>
      </c>
      <c r="D167" s="68"/>
      <c r="E167" s="69"/>
      <c r="F167" s="66" t="s">
        <v>18</v>
      </c>
      <c r="G167" s="67">
        <f t="shared" ref="G167:M167" si="50">G161+G166</f>
        <v>41650.659999999996</v>
      </c>
      <c r="H167" s="67">
        <f t="shared" si="50"/>
        <v>30003.149999999994</v>
      </c>
      <c r="I167" s="67">
        <f t="shared" si="50"/>
        <v>32744</v>
      </c>
      <c r="J167" s="67">
        <f t="shared" si="50"/>
        <v>21580.85</v>
      </c>
      <c r="K167" s="67">
        <f t="shared" si="50"/>
        <v>34062</v>
      </c>
      <c r="L167" s="67">
        <f t="shared" si="50"/>
        <v>34330</v>
      </c>
      <c r="M167" s="67">
        <f t="shared" si="50"/>
        <v>34613</v>
      </c>
    </row>
    <row r="169" spans="1:13" x14ac:dyDescent="0.25">
      <c r="D169" s="70" t="s">
        <v>152</v>
      </c>
      <c r="E169" s="70"/>
      <c r="F169" s="70"/>
      <c r="G169" s="70"/>
      <c r="H169" s="70"/>
      <c r="I169" s="70"/>
      <c r="J169" s="70"/>
      <c r="K169" s="70"/>
      <c r="L169" s="70"/>
      <c r="M169" s="70"/>
    </row>
    <row r="170" spans="1:13" x14ac:dyDescent="0.25">
      <c r="D170" s="62"/>
      <c r="E170" s="62"/>
      <c r="F170" s="62"/>
      <c r="G170" s="63" t="s">
        <v>1</v>
      </c>
      <c r="H170" s="63" t="s">
        <v>2</v>
      </c>
      <c r="I170" s="63" t="s">
        <v>3</v>
      </c>
      <c r="J170" s="63" t="s">
        <v>4</v>
      </c>
      <c r="K170" s="63" t="s">
        <v>5</v>
      </c>
      <c r="L170" s="63" t="s">
        <v>6</v>
      </c>
      <c r="M170" s="63" t="s">
        <v>7</v>
      </c>
    </row>
    <row r="171" spans="1:13" x14ac:dyDescent="0.25">
      <c r="A171" s="59">
        <v>3</v>
      </c>
      <c r="D171" s="71" t="s">
        <v>8</v>
      </c>
      <c r="E171" s="72">
        <v>41</v>
      </c>
      <c r="F171" s="72" t="s">
        <v>10</v>
      </c>
      <c r="G171" s="73">
        <f t="shared" ref="G171:M171" si="51">G180+G192</f>
        <v>24885.670000000002</v>
      </c>
      <c r="H171" s="73">
        <f t="shared" si="51"/>
        <v>33988.249999999993</v>
      </c>
      <c r="I171" s="73">
        <f t="shared" si="51"/>
        <v>38460</v>
      </c>
      <c r="J171" s="73">
        <f t="shared" si="51"/>
        <v>55462.080000000002</v>
      </c>
      <c r="K171" s="73">
        <f t="shared" si="51"/>
        <v>62203</v>
      </c>
      <c r="L171" s="73">
        <f t="shared" si="51"/>
        <v>47724</v>
      </c>
      <c r="M171" s="73">
        <f t="shared" si="51"/>
        <v>48292</v>
      </c>
    </row>
    <row r="172" spans="1:13" x14ac:dyDescent="0.25">
      <c r="A172" s="59">
        <v>3</v>
      </c>
      <c r="D172" s="68"/>
      <c r="E172" s="69"/>
      <c r="F172" s="74" t="s">
        <v>18</v>
      </c>
      <c r="G172" s="75">
        <f t="shared" ref="G172:M172" si="52">SUM(G171:G171)</f>
        <v>24885.670000000002</v>
      </c>
      <c r="H172" s="75">
        <f t="shared" si="52"/>
        <v>33988.249999999993</v>
      </c>
      <c r="I172" s="75">
        <f t="shared" si="52"/>
        <v>38460</v>
      </c>
      <c r="J172" s="75">
        <f t="shared" si="52"/>
        <v>55462.080000000002</v>
      </c>
      <c r="K172" s="75">
        <f t="shared" si="52"/>
        <v>62203</v>
      </c>
      <c r="L172" s="75">
        <f t="shared" si="52"/>
        <v>47724</v>
      </c>
      <c r="M172" s="75">
        <f t="shared" si="52"/>
        <v>48292</v>
      </c>
    </row>
    <row r="174" spans="1:13" x14ac:dyDescent="0.25">
      <c r="D174" s="78" t="s">
        <v>153</v>
      </c>
      <c r="E174" s="78"/>
      <c r="F174" s="78"/>
      <c r="G174" s="78"/>
      <c r="H174" s="78"/>
      <c r="I174" s="78"/>
      <c r="J174" s="78"/>
      <c r="K174" s="78"/>
      <c r="L174" s="78"/>
      <c r="M174" s="78"/>
    </row>
    <row r="175" spans="1:13" x14ac:dyDescent="0.25">
      <c r="D175" s="63" t="s">
        <v>20</v>
      </c>
      <c r="E175" s="63" t="s">
        <v>21</v>
      </c>
      <c r="F175" s="63" t="s">
        <v>22</v>
      </c>
      <c r="G175" s="63" t="s">
        <v>1</v>
      </c>
      <c r="H175" s="63" t="s">
        <v>2</v>
      </c>
      <c r="I175" s="63" t="s">
        <v>3</v>
      </c>
      <c r="J175" s="63" t="s">
        <v>4</v>
      </c>
      <c r="K175" s="63" t="s">
        <v>5</v>
      </c>
      <c r="L175" s="63" t="s">
        <v>6</v>
      </c>
      <c r="M175" s="63" t="s">
        <v>7</v>
      </c>
    </row>
    <row r="176" spans="1:13" x14ac:dyDescent="0.25">
      <c r="A176" s="59">
        <v>3</v>
      </c>
      <c r="B176" s="59">
        <v>1</v>
      </c>
      <c r="D176" s="3" t="s">
        <v>154</v>
      </c>
      <c r="E176" s="64">
        <v>610</v>
      </c>
      <c r="F176" s="64" t="s">
        <v>105</v>
      </c>
      <c r="G176" s="65">
        <v>8707.65</v>
      </c>
      <c r="H176" s="65">
        <v>5654.13</v>
      </c>
      <c r="I176" s="65">
        <v>9687</v>
      </c>
      <c r="J176" s="65">
        <v>10143.52</v>
      </c>
      <c r="K176" s="65">
        <v>10555</v>
      </c>
      <c r="L176" s="65">
        <v>10716</v>
      </c>
      <c r="M176" s="65">
        <v>11125</v>
      </c>
    </row>
    <row r="177" spans="1:13" x14ac:dyDescent="0.25">
      <c r="A177" s="59">
        <v>3</v>
      </c>
      <c r="B177" s="59">
        <v>1</v>
      </c>
      <c r="D177" s="3"/>
      <c r="E177" s="64">
        <v>620</v>
      </c>
      <c r="F177" s="64" t="s">
        <v>106</v>
      </c>
      <c r="G177" s="65">
        <v>2768.42</v>
      </c>
      <c r="H177" s="65">
        <v>1915.86</v>
      </c>
      <c r="I177" s="65">
        <v>3353</v>
      </c>
      <c r="J177" s="65">
        <v>3692.66</v>
      </c>
      <c r="K177" s="65">
        <v>3656</v>
      </c>
      <c r="L177" s="65">
        <v>3745</v>
      </c>
      <c r="M177" s="65">
        <v>3889</v>
      </c>
    </row>
    <row r="178" spans="1:13" x14ac:dyDescent="0.25">
      <c r="A178" s="59">
        <v>3</v>
      </c>
      <c r="B178" s="59">
        <v>1</v>
      </c>
      <c r="D178" s="3"/>
      <c r="E178" s="64">
        <v>630</v>
      </c>
      <c r="F178" s="64" t="s">
        <v>107</v>
      </c>
      <c r="G178" s="65">
        <v>10459.08</v>
      </c>
      <c r="H178" s="65">
        <v>25980.46</v>
      </c>
      <c r="I178" s="65">
        <v>24920</v>
      </c>
      <c r="J178" s="65">
        <v>39642.800000000003</v>
      </c>
      <c r="K178" s="65">
        <f>28450+780+3500+1200+1050-2488+15000</f>
        <v>47492</v>
      </c>
      <c r="L178" s="65">
        <f>28450+813+3500</f>
        <v>32763</v>
      </c>
      <c r="M178" s="65">
        <f>28450+828+3500</f>
        <v>32778</v>
      </c>
    </row>
    <row r="179" spans="1:13" x14ac:dyDescent="0.25">
      <c r="A179" s="59">
        <v>3</v>
      </c>
      <c r="B179" s="59">
        <v>1</v>
      </c>
      <c r="D179" s="3"/>
      <c r="E179" s="64">
        <v>640</v>
      </c>
      <c r="F179" s="64" t="s">
        <v>108</v>
      </c>
      <c r="G179" s="65">
        <v>0</v>
      </c>
      <c r="H179" s="65">
        <v>221.7</v>
      </c>
      <c r="I179" s="65">
        <v>0</v>
      </c>
      <c r="J179" s="65">
        <v>1767</v>
      </c>
      <c r="K179" s="65">
        <v>0</v>
      </c>
      <c r="L179" s="65">
        <v>0</v>
      </c>
      <c r="M179" s="65">
        <v>0</v>
      </c>
    </row>
    <row r="180" spans="1:13" x14ac:dyDescent="0.25">
      <c r="A180" s="59">
        <v>3</v>
      </c>
      <c r="B180" s="59">
        <v>1</v>
      </c>
      <c r="D180" s="81" t="s">
        <v>8</v>
      </c>
      <c r="E180" s="66">
        <v>41</v>
      </c>
      <c r="F180" s="66" t="s">
        <v>10</v>
      </c>
      <c r="G180" s="67">
        <f t="shared" ref="G180:M180" si="53">SUM(G176:G179)</f>
        <v>21935.15</v>
      </c>
      <c r="H180" s="67">
        <f t="shared" si="53"/>
        <v>33772.149999999994</v>
      </c>
      <c r="I180" s="67">
        <f t="shared" si="53"/>
        <v>37960</v>
      </c>
      <c r="J180" s="67">
        <f t="shared" si="53"/>
        <v>55245.98</v>
      </c>
      <c r="K180" s="67">
        <f t="shared" si="53"/>
        <v>61703</v>
      </c>
      <c r="L180" s="67">
        <f t="shared" si="53"/>
        <v>47224</v>
      </c>
      <c r="M180" s="67">
        <f t="shared" si="53"/>
        <v>47792</v>
      </c>
    </row>
    <row r="182" spans="1:13" x14ac:dyDescent="0.25">
      <c r="E182" s="90" t="s">
        <v>43</v>
      </c>
      <c r="F182" s="68" t="s">
        <v>47</v>
      </c>
      <c r="G182" s="91">
        <v>2454.02</v>
      </c>
      <c r="H182" s="91">
        <v>8916.85</v>
      </c>
      <c r="I182" s="91">
        <v>9000</v>
      </c>
      <c r="J182" s="91">
        <v>1068.55</v>
      </c>
      <c r="K182" s="91">
        <v>1140</v>
      </c>
      <c r="L182" s="91">
        <f>K182</f>
        <v>1140</v>
      </c>
      <c r="M182" s="92">
        <f>L182</f>
        <v>1140</v>
      </c>
    </row>
    <row r="183" spans="1:13" x14ac:dyDescent="0.25">
      <c r="E183" s="93"/>
      <c r="F183" s="96" t="s">
        <v>123</v>
      </c>
      <c r="G183" s="97">
        <v>1099.44</v>
      </c>
      <c r="H183" s="97">
        <v>769</v>
      </c>
      <c r="I183" s="97">
        <v>770</v>
      </c>
      <c r="J183" s="97">
        <v>3672.41</v>
      </c>
      <c r="K183" s="97">
        <f>(51+36+10+8)*11+57</f>
        <v>1212</v>
      </c>
      <c r="L183" s="94">
        <f>K183</f>
        <v>1212</v>
      </c>
      <c r="M183" s="95">
        <f>L183</f>
        <v>1212</v>
      </c>
    </row>
    <row r="184" spans="1:13" x14ac:dyDescent="0.25">
      <c r="E184" s="93"/>
      <c r="F184" s="106" t="s">
        <v>155</v>
      </c>
      <c r="G184" s="94">
        <v>206.87</v>
      </c>
      <c r="H184" s="94">
        <v>11900</v>
      </c>
      <c r="I184" s="94">
        <v>10000</v>
      </c>
      <c r="J184" s="94">
        <v>22955.439999999999</v>
      </c>
      <c r="K184" s="94">
        <v>25000</v>
      </c>
      <c r="L184" s="94">
        <v>10000</v>
      </c>
      <c r="M184" s="95">
        <f>L184</f>
        <v>10000</v>
      </c>
    </row>
    <row r="185" spans="1:13" x14ac:dyDescent="0.25">
      <c r="E185" s="93"/>
      <c r="F185" s="106" t="s">
        <v>156</v>
      </c>
      <c r="G185" s="94"/>
      <c r="H185" s="94"/>
      <c r="I185" s="94"/>
      <c r="J185" s="94">
        <v>3457.06</v>
      </c>
      <c r="K185" s="94">
        <v>3500</v>
      </c>
      <c r="L185" s="94">
        <f>K185</f>
        <v>3500</v>
      </c>
      <c r="M185" s="95">
        <f>L185</f>
        <v>3500</v>
      </c>
    </row>
    <row r="186" spans="1:13" x14ac:dyDescent="0.25">
      <c r="E186" s="93"/>
      <c r="F186" s="59" t="s">
        <v>157</v>
      </c>
      <c r="G186" s="94">
        <v>2201.9</v>
      </c>
      <c r="H186" s="94">
        <v>769.54</v>
      </c>
      <c r="I186" s="94">
        <v>1440</v>
      </c>
      <c r="J186" s="94">
        <v>1309.49</v>
      </c>
      <c r="K186" s="94">
        <f>1300+1200</f>
        <v>2500</v>
      </c>
      <c r="L186" s="94">
        <f>K186</f>
        <v>2500</v>
      </c>
      <c r="M186" s="95">
        <f>L186</f>
        <v>2500</v>
      </c>
    </row>
    <row r="187" spans="1:13" x14ac:dyDescent="0.25">
      <c r="E187" s="98"/>
      <c r="F187" s="99" t="s">
        <v>158</v>
      </c>
      <c r="G187" s="100">
        <v>1278.06</v>
      </c>
      <c r="H187" s="100">
        <v>1307.94</v>
      </c>
      <c r="I187" s="100">
        <v>1300</v>
      </c>
      <c r="J187" s="100">
        <v>2439.0100000000002</v>
      </c>
      <c r="K187" s="100">
        <f>2450+1050</f>
        <v>3500</v>
      </c>
      <c r="L187" s="100">
        <f>K187</f>
        <v>3500</v>
      </c>
      <c r="M187" s="101">
        <f>L187</f>
        <v>3500</v>
      </c>
    </row>
    <row r="189" spans="1:13" x14ac:dyDescent="0.25">
      <c r="D189" s="78" t="s">
        <v>159</v>
      </c>
      <c r="E189" s="78"/>
      <c r="F189" s="78"/>
      <c r="G189" s="78"/>
      <c r="H189" s="78"/>
      <c r="I189" s="78"/>
      <c r="J189" s="78"/>
      <c r="K189" s="78"/>
      <c r="L189" s="78"/>
      <c r="M189" s="78"/>
    </row>
    <row r="190" spans="1:13" x14ac:dyDescent="0.25">
      <c r="D190" s="63" t="s">
        <v>20</v>
      </c>
      <c r="E190" s="63" t="s">
        <v>21</v>
      </c>
      <c r="F190" s="63" t="s">
        <v>22</v>
      </c>
      <c r="G190" s="63" t="s">
        <v>1</v>
      </c>
      <c r="H190" s="63" t="s">
        <v>2</v>
      </c>
      <c r="I190" s="63" t="s">
        <v>3</v>
      </c>
      <c r="J190" s="63" t="s">
        <v>4</v>
      </c>
      <c r="K190" s="63" t="s">
        <v>5</v>
      </c>
      <c r="L190" s="63" t="s">
        <v>6</v>
      </c>
      <c r="M190" s="63" t="s">
        <v>7</v>
      </c>
    </row>
    <row r="191" spans="1:13" x14ac:dyDescent="0.25">
      <c r="A191" s="59">
        <v>3</v>
      </c>
      <c r="B191" s="59">
        <v>2</v>
      </c>
      <c r="D191" s="79" t="s">
        <v>154</v>
      </c>
      <c r="E191" s="64">
        <v>640</v>
      </c>
      <c r="F191" s="64" t="s">
        <v>108</v>
      </c>
      <c r="G191" s="65">
        <v>2950.52</v>
      </c>
      <c r="H191" s="65">
        <v>216.1</v>
      </c>
      <c r="I191" s="65">
        <v>500</v>
      </c>
      <c r="J191" s="65">
        <v>216.1</v>
      </c>
      <c r="K191" s="65">
        <v>500</v>
      </c>
      <c r="L191" s="65">
        <f>K191</f>
        <v>500</v>
      </c>
      <c r="M191" s="65">
        <f>L191</f>
        <v>500</v>
      </c>
    </row>
    <row r="192" spans="1:13" x14ac:dyDescent="0.25">
      <c r="A192" s="59">
        <v>3</v>
      </c>
      <c r="B192" s="59">
        <v>2</v>
      </c>
      <c r="D192" s="81" t="s">
        <v>8</v>
      </c>
      <c r="E192" s="66">
        <v>41</v>
      </c>
      <c r="F192" s="66" t="s">
        <v>10</v>
      </c>
      <c r="G192" s="67">
        <f t="shared" ref="G192:M192" si="54">SUM(G191:G191)</f>
        <v>2950.52</v>
      </c>
      <c r="H192" s="67">
        <f t="shared" si="54"/>
        <v>216.1</v>
      </c>
      <c r="I192" s="67">
        <f t="shared" si="54"/>
        <v>500</v>
      </c>
      <c r="J192" s="67">
        <f t="shared" si="54"/>
        <v>216.1</v>
      </c>
      <c r="K192" s="67">
        <f t="shared" si="54"/>
        <v>500</v>
      </c>
      <c r="L192" s="67">
        <f t="shared" si="54"/>
        <v>500</v>
      </c>
      <c r="M192" s="67">
        <f t="shared" si="54"/>
        <v>500</v>
      </c>
    </row>
    <row r="194" spans="1:13" x14ac:dyDescent="0.25">
      <c r="D194" s="70" t="s">
        <v>160</v>
      </c>
      <c r="E194" s="70"/>
      <c r="F194" s="70"/>
      <c r="G194" s="70"/>
      <c r="H194" s="70"/>
      <c r="I194" s="70"/>
      <c r="J194" s="70"/>
      <c r="K194" s="70"/>
      <c r="L194" s="70"/>
      <c r="M194" s="70"/>
    </row>
    <row r="195" spans="1:13" x14ac:dyDescent="0.25">
      <c r="D195" s="62"/>
      <c r="E195" s="62"/>
      <c r="F195" s="62"/>
      <c r="G195" s="63" t="s">
        <v>1</v>
      </c>
      <c r="H195" s="63" t="s">
        <v>2</v>
      </c>
      <c r="I195" s="63" t="s">
        <v>3</v>
      </c>
      <c r="J195" s="63" t="s">
        <v>4</v>
      </c>
      <c r="K195" s="63" t="s">
        <v>5</v>
      </c>
      <c r="L195" s="63" t="s">
        <v>6</v>
      </c>
      <c r="M195" s="63" t="s">
        <v>7</v>
      </c>
    </row>
    <row r="196" spans="1:13" x14ac:dyDescent="0.25">
      <c r="A196" s="59">
        <v>4</v>
      </c>
      <c r="D196" s="71" t="s">
        <v>8</v>
      </c>
      <c r="E196" s="72">
        <v>41</v>
      </c>
      <c r="F196" s="72" t="s">
        <v>10</v>
      </c>
      <c r="G196" s="73">
        <f t="shared" ref="G196:M196" si="55">G202+G207+G215+G220</f>
        <v>31936.899999999998</v>
      </c>
      <c r="H196" s="73">
        <f t="shared" si="55"/>
        <v>52727.26</v>
      </c>
      <c r="I196" s="73">
        <f t="shared" si="55"/>
        <v>59000</v>
      </c>
      <c r="J196" s="73">
        <f t="shared" si="55"/>
        <v>61481.63</v>
      </c>
      <c r="K196" s="73">
        <f t="shared" si="55"/>
        <v>59000</v>
      </c>
      <c r="L196" s="73">
        <f t="shared" si="55"/>
        <v>59000</v>
      </c>
      <c r="M196" s="73">
        <f t="shared" si="55"/>
        <v>59000</v>
      </c>
    </row>
    <row r="197" spans="1:13" x14ac:dyDescent="0.25">
      <c r="A197" s="59">
        <v>4</v>
      </c>
      <c r="D197" s="68"/>
      <c r="E197" s="69"/>
      <c r="F197" s="74" t="s">
        <v>18</v>
      </c>
      <c r="G197" s="75">
        <f t="shared" ref="G197:M197" si="56">SUM(G196:G196)</f>
        <v>31936.899999999998</v>
      </c>
      <c r="H197" s="75">
        <f t="shared" si="56"/>
        <v>52727.26</v>
      </c>
      <c r="I197" s="75">
        <f t="shared" si="56"/>
        <v>59000</v>
      </c>
      <c r="J197" s="75">
        <f t="shared" si="56"/>
        <v>61481.63</v>
      </c>
      <c r="K197" s="75">
        <f t="shared" si="56"/>
        <v>59000</v>
      </c>
      <c r="L197" s="75">
        <f t="shared" si="56"/>
        <v>59000</v>
      </c>
      <c r="M197" s="75">
        <f t="shared" si="56"/>
        <v>59000</v>
      </c>
    </row>
    <row r="199" spans="1:13" x14ac:dyDescent="0.25">
      <c r="D199" s="78" t="s">
        <v>161</v>
      </c>
      <c r="E199" s="78"/>
      <c r="F199" s="78"/>
      <c r="G199" s="78"/>
      <c r="H199" s="78"/>
      <c r="I199" s="78"/>
      <c r="J199" s="78"/>
      <c r="K199" s="78"/>
      <c r="L199" s="78"/>
      <c r="M199" s="78"/>
    </row>
    <row r="200" spans="1:13" x14ac:dyDescent="0.25">
      <c r="D200" s="63" t="s">
        <v>20</v>
      </c>
      <c r="E200" s="63" t="s">
        <v>21</v>
      </c>
      <c r="F200" s="63" t="s">
        <v>22</v>
      </c>
      <c r="G200" s="63" t="s">
        <v>1</v>
      </c>
      <c r="H200" s="63" t="s">
        <v>2</v>
      </c>
      <c r="I200" s="63" t="s">
        <v>3</v>
      </c>
      <c r="J200" s="63" t="s">
        <v>4</v>
      </c>
      <c r="K200" s="63" t="s">
        <v>5</v>
      </c>
      <c r="L200" s="63" t="s">
        <v>6</v>
      </c>
      <c r="M200" s="63" t="s">
        <v>7</v>
      </c>
    </row>
    <row r="201" spans="1:13" x14ac:dyDescent="0.25">
      <c r="A201" s="59">
        <v>4</v>
      </c>
      <c r="B201" s="59">
        <v>1</v>
      </c>
      <c r="D201" s="79" t="s">
        <v>162</v>
      </c>
      <c r="E201" s="64">
        <v>630</v>
      </c>
      <c r="F201" s="64" t="s">
        <v>107</v>
      </c>
      <c r="G201" s="65">
        <v>27256.16</v>
      </c>
      <c r="H201" s="65">
        <v>42161.55</v>
      </c>
      <c r="I201" s="65">
        <v>42000</v>
      </c>
      <c r="J201" s="65">
        <v>56240.74</v>
      </c>
      <c r="K201" s="65">
        <v>57000</v>
      </c>
      <c r="L201" s="65">
        <f>K201</f>
        <v>57000</v>
      </c>
      <c r="M201" s="65">
        <f>L201</f>
        <v>57000</v>
      </c>
    </row>
    <row r="202" spans="1:13" x14ac:dyDescent="0.25">
      <c r="A202" s="59">
        <v>4</v>
      </c>
      <c r="B202" s="59">
        <v>1</v>
      </c>
      <c r="D202" s="81" t="s">
        <v>8</v>
      </c>
      <c r="E202" s="66">
        <v>41</v>
      </c>
      <c r="F202" s="66" t="s">
        <v>10</v>
      </c>
      <c r="G202" s="67">
        <f t="shared" ref="G202:M202" si="57">SUM(G201:G201)</f>
        <v>27256.16</v>
      </c>
      <c r="H202" s="67">
        <f t="shared" si="57"/>
        <v>42161.55</v>
      </c>
      <c r="I202" s="67">
        <f t="shared" si="57"/>
        <v>42000</v>
      </c>
      <c r="J202" s="67">
        <f t="shared" si="57"/>
        <v>56240.74</v>
      </c>
      <c r="K202" s="67">
        <f t="shared" si="57"/>
        <v>57000</v>
      </c>
      <c r="L202" s="67">
        <f t="shared" si="57"/>
        <v>57000</v>
      </c>
      <c r="M202" s="67">
        <f t="shared" si="57"/>
        <v>57000</v>
      </c>
    </row>
    <row r="204" spans="1:13" x14ac:dyDescent="0.25">
      <c r="D204" s="78" t="s">
        <v>163</v>
      </c>
      <c r="E204" s="78"/>
      <c r="F204" s="78"/>
      <c r="G204" s="78"/>
      <c r="H204" s="78"/>
      <c r="I204" s="78"/>
      <c r="J204" s="78"/>
      <c r="K204" s="78"/>
      <c r="L204" s="78"/>
      <c r="M204" s="78"/>
    </row>
    <row r="205" spans="1:13" x14ac:dyDescent="0.25">
      <c r="D205" s="63" t="s">
        <v>20</v>
      </c>
      <c r="E205" s="63" t="s">
        <v>21</v>
      </c>
      <c r="F205" s="63" t="s">
        <v>22</v>
      </c>
      <c r="G205" s="63" t="s">
        <v>1</v>
      </c>
      <c r="H205" s="63" t="s">
        <v>2</v>
      </c>
      <c r="I205" s="63" t="s">
        <v>3</v>
      </c>
      <c r="J205" s="63" t="s">
        <v>4</v>
      </c>
      <c r="K205" s="63" t="s">
        <v>5</v>
      </c>
      <c r="L205" s="63" t="s">
        <v>6</v>
      </c>
      <c r="M205" s="63" t="s">
        <v>7</v>
      </c>
    </row>
    <row r="206" spans="1:13" x14ac:dyDescent="0.25">
      <c r="A206" s="59">
        <v>4</v>
      </c>
      <c r="B206" s="59">
        <v>2</v>
      </c>
      <c r="D206" s="79" t="s">
        <v>162</v>
      </c>
      <c r="E206" s="64">
        <v>630</v>
      </c>
      <c r="F206" s="64" t="s">
        <v>107</v>
      </c>
      <c r="G206" s="65">
        <v>4057.76</v>
      </c>
      <c r="H206" s="65">
        <v>7965.71</v>
      </c>
      <c r="I206" s="65">
        <v>15000</v>
      </c>
      <c r="J206" s="65">
        <v>5240.8900000000003</v>
      </c>
      <c r="K206" s="65">
        <v>0</v>
      </c>
      <c r="L206" s="65">
        <f>K206</f>
        <v>0</v>
      </c>
      <c r="M206" s="65">
        <f>L206</f>
        <v>0</v>
      </c>
    </row>
    <row r="207" spans="1:13" x14ac:dyDescent="0.25">
      <c r="A207" s="59">
        <v>4</v>
      </c>
      <c r="B207" s="59">
        <v>2</v>
      </c>
      <c r="D207" s="81" t="s">
        <v>8</v>
      </c>
      <c r="E207" s="66">
        <v>41</v>
      </c>
      <c r="F207" s="66" t="s">
        <v>10</v>
      </c>
      <c r="G207" s="67">
        <f t="shared" ref="G207:M207" si="58">SUM(G206:G206)</f>
        <v>4057.76</v>
      </c>
      <c r="H207" s="67">
        <f t="shared" si="58"/>
        <v>7965.71</v>
      </c>
      <c r="I207" s="67">
        <f t="shared" si="58"/>
        <v>15000</v>
      </c>
      <c r="J207" s="67">
        <f t="shared" si="58"/>
        <v>5240.8900000000003</v>
      </c>
      <c r="K207" s="67">
        <f t="shared" si="58"/>
        <v>0</v>
      </c>
      <c r="L207" s="67">
        <f t="shared" si="58"/>
        <v>0</v>
      </c>
      <c r="M207" s="67">
        <f t="shared" si="58"/>
        <v>0</v>
      </c>
    </row>
    <row r="209" spans="1:13" x14ac:dyDescent="0.25">
      <c r="E209" s="90" t="s">
        <v>43</v>
      </c>
      <c r="F209" s="68" t="s">
        <v>164</v>
      </c>
      <c r="G209" s="91"/>
      <c r="H209" s="91"/>
      <c r="I209" s="91">
        <v>7000</v>
      </c>
      <c r="J209" s="91">
        <v>0</v>
      </c>
      <c r="K209" s="91">
        <v>0</v>
      </c>
      <c r="L209" s="91">
        <f>K209</f>
        <v>0</v>
      </c>
      <c r="M209" s="92">
        <f>L209</f>
        <v>0</v>
      </c>
    </row>
    <row r="210" spans="1:13" x14ac:dyDescent="0.25">
      <c r="E210" s="98"/>
      <c r="F210" s="99" t="s">
        <v>165</v>
      </c>
      <c r="G210" s="100">
        <v>2815.76</v>
      </c>
      <c r="H210" s="100">
        <v>4480.53</v>
      </c>
      <c r="I210" s="100">
        <v>6000</v>
      </c>
      <c r="J210" s="100">
        <v>5240.8900000000003</v>
      </c>
      <c r="K210" s="100">
        <f>0</f>
        <v>0</v>
      </c>
      <c r="L210" s="100">
        <f>K210</f>
        <v>0</v>
      </c>
      <c r="M210" s="101">
        <f>L210</f>
        <v>0</v>
      </c>
    </row>
    <row r="212" spans="1:13" x14ac:dyDescent="0.25">
      <c r="D212" s="78" t="s">
        <v>166</v>
      </c>
      <c r="E212" s="78"/>
      <c r="F212" s="78"/>
      <c r="G212" s="78"/>
      <c r="H212" s="78"/>
      <c r="I212" s="78"/>
      <c r="J212" s="78"/>
      <c r="K212" s="78"/>
      <c r="L212" s="78"/>
      <c r="M212" s="78"/>
    </row>
    <row r="213" spans="1:13" x14ac:dyDescent="0.25">
      <c r="D213" s="63" t="s">
        <v>20</v>
      </c>
      <c r="E213" s="63" t="s">
        <v>21</v>
      </c>
      <c r="F213" s="63" t="s">
        <v>22</v>
      </c>
      <c r="G213" s="63" t="s">
        <v>1</v>
      </c>
      <c r="H213" s="63" t="s">
        <v>2</v>
      </c>
      <c r="I213" s="63" t="s">
        <v>3</v>
      </c>
      <c r="J213" s="63" t="s">
        <v>4</v>
      </c>
      <c r="K213" s="63" t="s">
        <v>5</v>
      </c>
      <c r="L213" s="63" t="s">
        <v>6</v>
      </c>
      <c r="M213" s="63" t="s">
        <v>7</v>
      </c>
    </row>
    <row r="214" spans="1:13" x14ac:dyDescent="0.25">
      <c r="A214" s="59">
        <v>4</v>
      </c>
      <c r="B214" s="59">
        <v>3</v>
      </c>
      <c r="D214" s="79" t="s">
        <v>162</v>
      </c>
      <c r="E214" s="64">
        <v>630</v>
      </c>
      <c r="F214" s="64" t="s">
        <v>107</v>
      </c>
      <c r="G214" s="65">
        <v>0</v>
      </c>
      <c r="H214" s="65">
        <v>0</v>
      </c>
      <c r="I214" s="65">
        <v>1000</v>
      </c>
      <c r="J214" s="65">
        <v>0</v>
      </c>
      <c r="K214" s="65">
        <f>I214</f>
        <v>1000</v>
      </c>
      <c r="L214" s="65">
        <f>K214</f>
        <v>1000</v>
      </c>
      <c r="M214" s="65">
        <f>L214</f>
        <v>1000</v>
      </c>
    </row>
    <row r="215" spans="1:13" x14ac:dyDescent="0.25">
      <c r="A215" s="59">
        <v>4</v>
      </c>
      <c r="B215" s="59">
        <v>3</v>
      </c>
      <c r="D215" s="81" t="s">
        <v>8</v>
      </c>
      <c r="E215" s="66">
        <v>41</v>
      </c>
      <c r="F215" s="66" t="s">
        <v>10</v>
      </c>
      <c r="G215" s="110">
        <f t="shared" ref="G215:M215" si="59">SUM(G214:G214)</f>
        <v>0</v>
      </c>
      <c r="H215" s="67">
        <f t="shared" si="59"/>
        <v>0</v>
      </c>
      <c r="I215" s="67">
        <f t="shared" si="59"/>
        <v>1000</v>
      </c>
      <c r="J215" s="67">
        <f t="shared" si="59"/>
        <v>0</v>
      </c>
      <c r="K215" s="67">
        <f t="shared" si="59"/>
        <v>1000</v>
      </c>
      <c r="L215" s="67">
        <f t="shared" si="59"/>
        <v>1000</v>
      </c>
      <c r="M215" s="67">
        <f t="shared" si="59"/>
        <v>1000</v>
      </c>
    </row>
    <row r="217" spans="1:13" x14ac:dyDescent="0.25">
      <c r="D217" s="78" t="s">
        <v>167</v>
      </c>
      <c r="E217" s="78"/>
      <c r="F217" s="78"/>
      <c r="G217" s="78"/>
      <c r="H217" s="78"/>
      <c r="I217" s="78"/>
      <c r="J217" s="78"/>
      <c r="K217" s="78"/>
      <c r="L217" s="78"/>
      <c r="M217" s="78"/>
    </row>
    <row r="218" spans="1:13" x14ac:dyDescent="0.25">
      <c r="D218" s="63" t="s">
        <v>20</v>
      </c>
      <c r="E218" s="63" t="s">
        <v>21</v>
      </c>
      <c r="F218" s="63" t="s">
        <v>22</v>
      </c>
      <c r="G218" s="63" t="s">
        <v>1</v>
      </c>
      <c r="H218" s="63" t="s">
        <v>2</v>
      </c>
      <c r="I218" s="63" t="s">
        <v>3</v>
      </c>
      <c r="J218" s="63" t="s">
        <v>4</v>
      </c>
      <c r="K218" s="63" t="s">
        <v>5</v>
      </c>
      <c r="L218" s="63" t="s">
        <v>6</v>
      </c>
      <c r="M218" s="63" t="s">
        <v>7</v>
      </c>
    </row>
    <row r="219" spans="1:13" x14ac:dyDescent="0.25">
      <c r="A219" s="59">
        <v>4</v>
      </c>
      <c r="B219" s="59">
        <v>4</v>
      </c>
      <c r="D219" s="79" t="s">
        <v>162</v>
      </c>
      <c r="E219" s="64">
        <v>630</v>
      </c>
      <c r="F219" s="64" t="s">
        <v>107</v>
      </c>
      <c r="G219" s="65">
        <v>622.98</v>
      </c>
      <c r="H219" s="65">
        <v>2600</v>
      </c>
      <c r="I219" s="65">
        <v>1000</v>
      </c>
      <c r="J219" s="65">
        <v>0</v>
      </c>
      <c r="K219" s="65">
        <f>I219</f>
        <v>1000</v>
      </c>
      <c r="L219" s="65">
        <f>K219</f>
        <v>1000</v>
      </c>
      <c r="M219" s="65">
        <f>L219</f>
        <v>1000</v>
      </c>
    </row>
    <row r="220" spans="1:13" x14ac:dyDescent="0.25">
      <c r="A220" s="59">
        <v>4</v>
      </c>
      <c r="B220" s="59">
        <v>4</v>
      </c>
      <c r="D220" s="81" t="s">
        <v>8</v>
      </c>
      <c r="E220" s="66">
        <v>41</v>
      </c>
      <c r="F220" s="66" t="s">
        <v>10</v>
      </c>
      <c r="G220" s="67">
        <f t="shared" ref="G220:M220" si="60">SUM(G219:G219)</f>
        <v>622.98</v>
      </c>
      <c r="H220" s="67">
        <f t="shared" si="60"/>
        <v>2600</v>
      </c>
      <c r="I220" s="67">
        <f t="shared" si="60"/>
        <v>1000</v>
      </c>
      <c r="J220" s="67">
        <f t="shared" si="60"/>
        <v>0</v>
      </c>
      <c r="K220" s="67">
        <f t="shared" si="60"/>
        <v>1000</v>
      </c>
      <c r="L220" s="67">
        <f t="shared" si="60"/>
        <v>1000</v>
      </c>
      <c r="M220" s="67">
        <f t="shared" si="60"/>
        <v>1000</v>
      </c>
    </row>
    <row r="222" spans="1:13" x14ac:dyDescent="0.25">
      <c r="D222" s="70" t="s">
        <v>168</v>
      </c>
      <c r="E222" s="70"/>
      <c r="F222" s="70"/>
      <c r="G222" s="70"/>
      <c r="H222" s="70"/>
      <c r="I222" s="70"/>
      <c r="J222" s="70"/>
      <c r="K222" s="70"/>
      <c r="L222" s="70"/>
      <c r="M222" s="70"/>
    </row>
    <row r="223" spans="1:13" x14ac:dyDescent="0.25">
      <c r="D223" s="62"/>
      <c r="E223" s="62"/>
      <c r="F223" s="62"/>
      <c r="G223" s="63" t="s">
        <v>1</v>
      </c>
      <c r="H223" s="63" t="s">
        <v>2</v>
      </c>
      <c r="I223" s="63" t="s">
        <v>3</v>
      </c>
      <c r="J223" s="63" t="s">
        <v>4</v>
      </c>
      <c r="K223" s="63" t="s">
        <v>5</v>
      </c>
      <c r="L223" s="63" t="s">
        <v>6</v>
      </c>
      <c r="M223" s="63" t="s">
        <v>7</v>
      </c>
    </row>
    <row r="224" spans="1:13" x14ac:dyDescent="0.25">
      <c r="A224" s="59">
        <v>5</v>
      </c>
      <c r="D224" s="7" t="s">
        <v>8</v>
      </c>
      <c r="E224" s="72">
        <v>111</v>
      </c>
      <c r="F224" s="72" t="s">
        <v>89</v>
      </c>
      <c r="G224" s="73">
        <f t="shared" ref="G224:M225" si="61">G230+G265</f>
        <v>17990.579999999998</v>
      </c>
      <c r="H224" s="73">
        <f t="shared" si="61"/>
        <v>25481.149999999998</v>
      </c>
      <c r="I224" s="73">
        <f t="shared" si="61"/>
        <v>26557</v>
      </c>
      <c r="J224" s="73">
        <f t="shared" si="61"/>
        <v>37906.300000000003</v>
      </c>
      <c r="K224" s="73">
        <f t="shared" si="61"/>
        <v>19232</v>
      </c>
      <c r="L224" s="73">
        <f t="shared" si="61"/>
        <v>2427</v>
      </c>
      <c r="M224" s="73">
        <f t="shared" si="61"/>
        <v>210</v>
      </c>
    </row>
    <row r="225" spans="1:13" x14ac:dyDescent="0.25">
      <c r="A225" s="59">
        <v>5</v>
      </c>
      <c r="D225" s="7"/>
      <c r="E225" s="72">
        <v>41</v>
      </c>
      <c r="F225" s="72" t="s">
        <v>10</v>
      </c>
      <c r="G225" s="73">
        <f t="shared" si="61"/>
        <v>88768.82</v>
      </c>
      <c r="H225" s="73">
        <f t="shared" si="61"/>
        <v>47308.25</v>
      </c>
      <c r="I225" s="73">
        <f t="shared" si="61"/>
        <v>47798</v>
      </c>
      <c r="J225" s="73">
        <f t="shared" si="61"/>
        <v>50246.539999999994</v>
      </c>
      <c r="K225" s="73">
        <f t="shared" si="61"/>
        <v>39934</v>
      </c>
      <c r="L225" s="73">
        <f t="shared" si="61"/>
        <v>29130</v>
      </c>
      <c r="M225" s="73">
        <f t="shared" si="61"/>
        <v>26730</v>
      </c>
    </row>
    <row r="226" spans="1:13" x14ac:dyDescent="0.25">
      <c r="A226" s="59">
        <v>5</v>
      </c>
      <c r="D226" s="68"/>
      <c r="E226" s="69"/>
      <c r="F226" s="74" t="s">
        <v>18</v>
      </c>
      <c r="G226" s="75">
        <f t="shared" ref="G226:M226" si="62">SUM(G224:G225)</f>
        <v>106759.40000000001</v>
      </c>
      <c r="H226" s="75">
        <f t="shared" si="62"/>
        <v>72789.399999999994</v>
      </c>
      <c r="I226" s="75">
        <f t="shared" si="62"/>
        <v>74355</v>
      </c>
      <c r="J226" s="75">
        <f t="shared" si="62"/>
        <v>88152.84</v>
      </c>
      <c r="K226" s="75">
        <f t="shared" si="62"/>
        <v>59166</v>
      </c>
      <c r="L226" s="75">
        <f t="shared" si="62"/>
        <v>31557</v>
      </c>
      <c r="M226" s="75">
        <f t="shared" si="62"/>
        <v>26940</v>
      </c>
    </row>
    <row r="228" spans="1:13" x14ac:dyDescent="0.25">
      <c r="D228" s="76" t="s">
        <v>169</v>
      </c>
      <c r="E228" s="76"/>
      <c r="F228" s="76"/>
      <c r="G228" s="76"/>
      <c r="H228" s="76"/>
      <c r="I228" s="76"/>
      <c r="J228" s="76"/>
      <c r="K228" s="76"/>
      <c r="L228" s="76"/>
      <c r="M228" s="76"/>
    </row>
    <row r="229" spans="1:13" x14ac:dyDescent="0.25">
      <c r="D229" s="111"/>
      <c r="E229" s="111"/>
      <c r="F229" s="111"/>
      <c r="G229" s="63" t="s">
        <v>1</v>
      </c>
      <c r="H229" s="63" t="s">
        <v>2</v>
      </c>
      <c r="I229" s="63" t="s">
        <v>3</v>
      </c>
      <c r="J229" s="63" t="s">
        <v>4</v>
      </c>
      <c r="K229" s="63" t="s">
        <v>5</v>
      </c>
      <c r="L229" s="63" t="s">
        <v>6</v>
      </c>
      <c r="M229" s="63" t="s">
        <v>7</v>
      </c>
    </row>
    <row r="230" spans="1:13" x14ac:dyDescent="0.25">
      <c r="A230" s="59">
        <v>5</v>
      </c>
      <c r="B230" s="59">
        <v>1</v>
      </c>
      <c r="D230" s="5" t="s">
        <v>8</v>
      </c>
      <c r="E230" s="64">
        <v>111</v>
      </c>
      <c r="F230" s="64" t="s">
        <v>89</v>
      </c>
      <c r="G230" s="65">
        <f t="shared" ref="G230:L230" si="63">G244</f>
        <v>241.23</v>
      </c>
      <c r="H230" s="65">
        <f t="shared" si="63"/>
        <v>241.23</v>
      </c>
      <c r="I230" s="65">
        <f t="shared" si="63"/>
        <v>229</v>
      </c>
      <c r="J230" s="65">
        <f t="shared" si="63"/>
        <v>0</v>
      </c>
      <c r="K230" s="65">
        <f t="shared" si="63"/>
        <v>210</v>
      </c>
      <c r="L230" s="65">
        <f t="shared" si="63"/>
        <v>210</v>
      </c>
      <c r="M230" s="65">
        <f>L230</f>
        <v>210</v>
      </c>
    </row>
    <row r="231" spans="1:13" x14ac:dyDescent="0.25">
      <c r="A231" s="59">
        <v>5</v>
      </c>
      <c r="B231" s="59">
        <v>1</v>
      </c>
      <c r="D231" s="5"/>
      <c r="E231" s="64">
        <v>41</v>
      </c>
      <c r="F231" s="64" t="s">
        <v>10</v>
      </c>
      <c r="G231" s="65">
        <f t="shared" ref="G231:M231" si="64">G238+G246+G253+G261</f>
        <v>25563.47</v>
      </c>
      <c r="H231" s="65">
        <f t="shared" si="64"/>
        <v>19873.78</v>
      </c>
      <c r="I231" s="65">
        <f t="shared" si="64"/>
        <v>19553</v>
      </c>
      <c r="J231" s="65">
        <f t="shared" si="64"/>
        <v>18615.919999999998</v>
      </c>
      <c r="K231" s="65">
        <f t="shared" si="64"/>
        <v>17539</v>
      </c>
      <c r="L231" s="65">
        <f t="shared" si="64"/>
        <v>16730</v>
      </c>
      <c r="M231" s="65">
        <f t="shared" si="64"/>
        <v>16730</v>
      </c>
    </row>
    <row r="232" spans="1:13" x14ac:dyDescent="0.25">
      <c r="A232" s="59">
        <v>5</v>
      </c>
      <c r="B232" s="59">
        <v>1</v>
      </c>
      <c r="D232" s="68"/>
      <c r="E232" s="69"/>
      <c r="F232" s="66" t="s">
        <v>18</v>
      </c>
      <c r="G232" s="67">
        <f t="shared" ref="G232:M232" si="65">SUM(G230:G231)</f>
        <v>25804.7</v>
      </c>
      <c r="H232" s="67">
        <f t="shared" si="65"/>
        <v>20115.009999999998</v>
      </c>
      <c r="I232" s="67">
        <f t="shared" si="65"/>
        <v>19782</v>
      </c>
      <c r="J232" s="67">
        <f t="shared" si="65"/>
        <v>18615.919999999998</v>
      </c>
      <c r="K232" s="67">
        <f t="shared" si="65"/>
        <v>17749</v>
      </c>
      <c r="L232" s="67">
        <f t="shared" si="65"/>
        <v>16940</v>
      </c>
      <c r="M232" s="67">
        <f t="shared" si="65"/>
        <v>16940</v>
      </c>
    </row>
    <row r="234" spans="1:13" x14ac:dyDescent="0.25">
      <c r="D234" s="78" t="s">
        <v>170</v>
      </c>
      <c r="E234" s="78"/>
      <c r="F234" s="78"/>
      <c r="G234" s="78"/>
      <c r="H234" s="78"/>
      <c r="I234" s="78"/>
      <c r="J234" s="78"/>
      <c r="K234" s="78"/>
      <c r="L234" s="78"/>
      <c r="M234" s="78"/>
    </row>
    <row r="235" spans="1:13" x14ac:dyDescent="0.25">
      <c r="D235" s="63" t="s">
        <v>20</v>
      </c>
      <c r="E235" s="63" t="s">
        <v>21</v>
      </c>
      <c r="F235" s="63" t="s">
        <v>22</v>
      </c>
      <c r="G235" s="63" t="s">
        <v>1</v>
      </c>
      <c r="H235" s="63" t="s">
        <v>2</v>
      </c>
      <c r="I235" s="63" t="s">
        <v>3</v>
      </c>
      <c r="J235" s="63" t="s">
        <v>4</v>
      </c>
      <c r="K235" s="63" t="s">
        <v>5</v>
      </c>
      <c r="L235" s="63" t="s">
        <v>6</v>
      </c>
      <c r="M235" s="63" t="s">
        <v>7</v>
      </c>
    </row>
    <row r="236" spans="1:13" x14ac:dyDescent="0.25">
      <c r="A236" s="59">
        <v>5</v>
      </c>
      <c r="B236" s="59">
        <v>1</v>
      </c>
      <c r="C236" s="59">
        <v>1</v>
      </c>
      <c r="D236" s="3" t="s">
        <v>171</v>
      </c>
      <c r="E236" s="64">
        <v>630</v>
      </c>
      <c r="F236" s="64" t="s">
        <v>107</v>
      </c>
      <c r="G236" s="65">
        <v>11359.88</v>
      </c>
      <c r="H236" s="65">
        <v>6373.5</v>
      </c>
      <c r="I236" s="65">
        <f>1300+1400</f>
        <v>2700</v>
      </c>
      <c r="J236" s="65">
        <v>1451.34</v>
      </c>
      <c r="K236" s="65">
        <f>1350</f>
        <v>1350</v>
      </c>
      <c r="L236" s="65">
        <f>K236</f>
        <v>1350</v>
      </c>
      <c r="M236" s="65">
        <f>L236</f>
        <v>1350</v>
      </c>
    </row>
    <row r="237" spans="1:13" x14ac:dyDescent="0.25">
      <c r="A237" s="59">
        <v>5</v>
      </c>
      <c r="B237" s="59">
        <v>1</v>
      </c>
      <c r="C237" s="59">
        <v>1</v>
      </c>
      <c r="D237" s="3"/>
      <c r="E237" s="64">
        <v>640</v>
      </c>
      <c r="F237" s="64" t="s">
        <v>108</v>
      </c>
      <c r="G237" s="65">
        <v>0</v>
      </c>
      <c r="H237" s="65">
        <v>0</v>
      </c>
      <c r="I237" s="65">
        <v>3700</v>
      </c>
      <c r="J237" s="65">
        <v>3700</v>
      </c>
      <c r="K237" s="65">
        <f>2100+900</f>
        <v>3000</v>
      </c>
      <c r="L237" s="65">
        <v>2100</v>
      </c>
      <c r="M237" s="65">
        <f>L237</f>
        <v>2100</v>
      </c>
    </row>
    <row r="238" spans="1:13" x14ac:dyDescent="0.25">
      <c r="A238" s="59">
        <v>5</v>
      </c>
      <c r="B238" s="59">
        <v>1</v>
      </c>
      <c r="C238" s="59">
        <v>1</v>
      </c>
      <c r="D238" s="81" t="s">
        <v>8</v>
      </c>
      <c r="E238" s="66">
        <v>41</v>
      </c>
      <c r="F238" s="66" t="s">
        <v>10</v>
      </c>
      <c r="G238" s="67">
        <f t="shared" ref="G238:M238" si="66">SUM(G236:G237)</f>
        <v>11359.88</v>
      </c>
      <c r="H238" s="67">
        <f t="shared" si="66"/>
        <v>6373.5</v>
      </c>
      <c r="I238" s="67">
        <f t="shared" si="66"/>
        <v>6400</v>
      </c>
      <c r="J238" s="67">
        <f t="shared" si="66"/>
        <v>5151.34</v>
      </c>
      <c r="K238" s="67">
        <f t="shared" si="66"/>
        <v>4350</v>
      </c>
      <c r="L238" s="67">
        <f t="shared" si="66"/>
        <v>3450</v>
      </c>
      <c r="M238" s="67">
        <f t="shared" si="66"/>
        <v>3450</v>
      </c>
    </row>
    <row r="240" spans="1:13" x14ac:dyDescent="0.25">
      <c r="D240" s="78" t="s">
        <v>172</v>
      </c>
      <c r="E240" s="78"/>
      <c r="F240" s="78"/>
      <c r="G240" s="78"/>
      <c r="H240" s="78"/>
      <c r="I240" s="78"/>
      <c r="J240" s="78"/>
      <c r="K240" s="78"/>
      <c r="L240" s="78"/>
      <c r="M240" s="78"/>
    </row>
    <row r="241" spans="1:13" x14ac:dyDescent="0.25">
      <c r="D241" s="63" t="s">
        <v>20</v>
      </c>
      <c r="E241" s="63" t="s">
        <v>21</v>
      </c>
      <c r="F241" s="63" t="s">
        <v>22</v>
      </c>
      <c r="G241" s="63" t="s">
        <v>1</v>
      </c>
      <c r="H241" s="63" t="s">
        <v>2</v>
      </c>
      <c r="I241" s="63" t="s">
        <v>3</v>
      </c>
      <c r="J241" s="63" t="s">
        <v>4</v>
      </c>
      <c r="K241" s="63" t="s">
        <v>5</v>
      </c>
      <c r="L241" s="63" t="s">
        <v>6</v>
      </c>
      <c r="M241" s="63" t="s">
        <v>7</v>
      </c>
    </row>
    <row r="242" spans="1:13" x14ac:dyDescent="0.25">
      <c r="A242" s="59">
        <v>5</v>
      </c>
      <c r="B242" s="59">
        <v>1</v>
      </c>
      <c r="C242" s="59">
        <v>2</v>
      </c>
      <c r="D242" s="3" t="s">
        <v>173</v>
      </c>
      <c r="E242" s="64">
        <v>620</v>
      </c>
      <c r="F242" s="64" t="s">
        <v>106</v>
      </c>
      <c r="G242" s="65">
        <v>59.23</v>
      </c>
      <c r="H242" s="65">
        <v>59.23</v>
      </c>
      <c r="I242" s="65">
        <v>47</v>
      </c>
      <c r="J242" s="65">
        <v>0</v>
      </c>
      <c r="K242" s="65">
        <v>35</v>
      </c>
      <c r="L242" s="65">
        <f>K242</f>
        <v>35</v>
      </c>
      <c r="M242" s="65">
        <f>L242</f>
        <v>35</v>
      </c>
    </row>
    <row r="243" spans="1:13" x14ac:dyDescent="0.25">
      <c r="A243" s="59">
        <v>5</v>
      </c>
      <c r="B243" s="59">
        <v>1</v>
      </c>
      <c r="C243" s="59">
        <v>2</v>
      </c>
      <c r="D243" s="3"/>
      <c r="E243" s="64">
        <v>630</v>
      </c>
      <c r="F243" s="64" t="s">
        <v>107</v>
      </c>
      <c r="G243" s="65">
        <v>182</v>
      </c>
      <c r="H243" s="65">
        <v>182</v>
      </c>
      <c r="I243" s="65">
        <v>182</v>
      </c>
      <c r="J243" s="65">
        <v>0</v>
      </c>
      <c r="K243" s="65">
        <v>175</v>
      </c>
      <c r="L243" s="65">
        <f>K243</f>
        <v>175</v>
      </c>
      <c r="M243" s="65">
        <f>L243</f>
        <v>175</v>
      </c>
    </row>
    <row r="244" spans="1:13" x14ac:dyDescent="0.25">
      <c r="A244" s="59">
        <v>5</v>
      </c>
      <c r="B244" s="59">
        <v>1</v>
      </c>
      <c r="C244" s="59">
        <v>2</v>
      </c>
      <c r="D244" s="102" t="s">
        <v>8</v>
      </c>
      <c r="E244" s="103">
        <v>111</v>
      </c>
      <c r="F244" s="103" t="s">
        <v>130</v>
      </c>
      <c r="G244" s="104">
        <f t="shared" ref="G244:M244" si="67">SUM(G242:G243)</f>
        <v>241.23</v>
      </c>
      <c r="H244" s="104">
        <f t="shared" si="67"/>
        <v>241.23</v>
      </c>
      <c r="I244" s="104">
        <f t="shared" si="67"/>
        <v>229</v>
      </c>
      <c r="J244" s="104">
        <f t="shared" si="67"/>
        <v>0</v>
      </c>
      <c r="K244" s="104">
        <f t="shared" si="67"/>
        <v>210</v>
      </c>
      <c r="L244" s="104">
        <f t="shared" si="67"/>
        <v>210</v>
      </c>
      <c r="M244" s="104">
        <f t="shared" si="67"/>
        <v>210</v>
      </c>
    </row>
    <row r="245" spans="1:13" x14ac:dyDescent="0.25">
      <c r="A245" s="59">
        <v>5</v>
      </c>
      <c r="B245" s="59">
        <v>1</v>
      </c>
      <c r="C245" s="59">
        <v>2</v>
      </c>
      <c r="D245" s="79" t="s">
        <v>173</v>
      </c>
      <c r="E245" s="64">
        <v>630</v>
      </c>
      <c r="F245" s="64" t="s">
        <v>107</v>
      </c>
      <c r="G245" s="65">
        <v>1059.8</v>
      </c>
      <c r="H245" s="65">
        <v>144.4</v>
      </c>
      <c r="I245" s="65">
        <v>0</v>
      </c>
      <c r="J245" s="65">
        <v>0</v>
      </c>
      <c r="K245" s="65">
        <v>0</v>
      </c>
      <c r="L245" s="65">
        <f>K245</f>
        <v>0</v>
      </c>
      <c r="M245" s="65">
        <f>L245</f>
        <v>0</v>
      </c>
    </row>
    <row r="246" spans="1:13" x14ac:dyDescent="0.25">
      <c r="A246" s="59">
        <v>5</v>
      </c>
      <c r="B246" s="59">
        <v>1</v>
      </c>
      <c r="C246" s="59">
        <v>2</v>
      </c>
      <c r="D246" s="102" t="s">
        <v>8</v>
      </c>
      <c r="E246" s="103">
        <v>41</v>
      </c>
      <c r="F246" s="103" t="s">
        <v>10</v>
      </c>
      <c r="G246" s="104">
        <f>SUM(G245:G245)</f>
        <v>1059.8</v>
      </c>
      <c r="H246" s="104">
        <f>SUM(H245:H245)</f>
        <v>144.4</v>
      </c>
      <c r="I246" s="104">
        <f>SUM(I245)</f>
        <v>0</v>
      </c>
      <c r="J246" s="104">
        <f>SUM(J245)</f>
        <v>0</v>
      </c>
      <c r="K246" s="104">
        <f>SUM(K245)</f>
        <v>0</v>
      </c>
      <c r="L246" s="104">
        <f>SUM(L245:L245)</f>
        <v>0</v>
      </c>
      <c r="M246" s="104">
        <f>SUM(M245:M245)</f>
        <v>0</v>
      </c>
    </row>
    <row r="247" spans="1:13" x14ac:dyDescent="0.25">
      <c r="D247" s="68"/>
      <c r="E247" s="69"/>
      <c r="F247" s="66" t="s">
        <v>18</v>
      </c>
      <c r="G247" s="67">
        <f t="shared" ref="G247:M247" si="68">G244+G246</f>
        <v>1301.03</v>
      </c>
      <c r="H247" s="67">
        <f t="shared" si="68"/>
        <v>385.63</v>
      </c>
      <c r="I247" s="67">
        <f t="shared" si="68"/>
        <v>229</v>
      </c>
      <c r="J247" s="67">
        <f t="shared" si="68"/>
        <v>0</v>
      </c>
      <c r="K247" s="67">
        <f t="shared" si="68"/>
        <v>210</v>
      </c>
      <c r="L247" s="67">
        <f t="shared" si="68"/>
        <v>210</v>
      </c>
      <c r="M247" s="67">
        <f t="shared" si="68"/>
        <v>210</v>
      </c>
    </row>
    <row r="249" spans="1:13" x14ac:dyDescent="0.25">
      <c r="D249" s="78" t="s">
        <v>174</v>
      </c>
      <c r="E249" s="78"/>
      <c r="F249" s="78"/>
      <c r="G249" s="78"/>
      <c r="H249" s="78"/>
      <c r="I249" s="78"/>
      <c r="J249" s="78"/>
      <c r="K249" s="78"/>
      <c r="L249" s="78"/>
      <c r="M249" s="78"/>
    </row>
    <row r="250" spans="1:13" x14ac:dyDescent="0.25">
      <c r="D250" s="63" t="s">
        <v>20</v>
      </c>
      <c r="E250" s="63" t="s">
        <v>21</v>
      </c>
      <c r="F250" s="63" t="s">
        <v>22</v>
      </c>
      <c r="G250" s="63" t="s">
        <v>1</v>
      </c>
      <c r="H250" s="63" t="s">
        <v>2</v>
      </c>
      <c r="I250" s="63" t="s">
        <v>3</v>
      </c>
      <c r="J250" s="63" t="s">
        <v>4</v>
      </c>
      <c r="K250" s="63" t="s">
        <v>5</v>
      </c>
      <c r="L250" s="63" t="s">
        <v>6</v>
      </c>
      <c r="M250" s="63" t="s">
        <v>7</v>
      </c>
    </row>
    <row r="251" spans="1:13" x14ac:dyDescent="0.25">
      <c r="A251" s="59">
        <v>5</v>
      </c>
      <c r="B251" s="59">
        <v>1</v>
      </c>
      <c r="C251" s="59">
        <v>3</v>
      </c>
      <c r="D251" s="3" t="s">
        <v>175</v>
      </c>
      <c r="E251" s="64">
        <v>620</v>
      </c>
      <c r="F251" s="64" t="s">
        <v>106</v>
      </c>
      <c r="G251" s="65">
        <v>712.92</v>
      </c>
      <c r="H251" s="65">
        <v>712.92</v>
      </c>
      <c r="I251" s="65">
        <v>713</v>
      </c>
      <c r="J251" s="65">
        <v>828.31</v>
      </c>
      <c r="K251" s="65">
        <v>840</v>
      </c>
      <c r="L251" s="65">
        <f>K251</f>
        <v>840</v>
      </c>
      <c r="M251" s="65">
        <f>L251</f>
        <v>840</v>
      </c>
    </row>
    <row r="252" spans="1:13" x14ac:dyDescent="0.25">
      <c r="A252" s="59">
        <v>5</v>
      </c>
      <c r="B252" s="59">
        <v>1</v>
      </c>
      <c r="C252" s="59">
        <v>3</v>
      </c>
      <c r="D252" s="3"/>
      <c r="E252" s="64">
        <v>630</v>
      </c>
      <c r="F252" s="64" t="s">
        <v>107</v>
      </c>
      <c r="G252" s="65">
        <v>12430.87</v>
      </c>
      <c r="H252" s="65">
        <v>12337.96</v>
      </c>
      <c r="I252" s="65">
        <v>12340</v>
      </c>
      <c r="J252" s="65">
        <v>12581.27</v>
      </c>
      <c r="K252" s="65">
        <f>12500-251</f>
        <v>12249</v>
      </c>
      <c r="L252" s="65">
        <f>I252</f>
        <v>12340</v>
      </c>
      <c r="M252" s="65">
        <f>L252</f>
        <v>12340</v>
      </c>
    </row>
    <row r="253" spans="1:13" x14ac:dyDescent="0.25">
      <c r="A253" s="59">
        <v>5</v>
      </c>
      <c r="B253" s="59">
        <v>1</v>
      </c>
      <c r="C253" s="59">
        <v>3</v>
      </c>
      <c r="D253" s="81" t="s">
        <v>8</v>
      </c>
      <c r="E253" s="66">
        <v>41</v>
      </c>
      <c r="F253" s="66" t="s">
        <v>10</v>
      </c>
      <c r="G253" s="67">
        <f t="shared" ref="G253:M253" si="69">SUM(G251:G252)</f>
        <v>13143.79</v>
      </c>
      <c r="H253" s="67">
        <f t="shared" si="69"/>
        <v>13050.88</v>
      </c>
      <c r="I253" s="67">
        <f t="shared" si="69"/>
        <v>13053</v>
      </c>
      <c r="J253" s="67">
        <f t="shared" si="69"/>
        <v>13409.58</v>
      </c>
      <c r="K253" s="67">
        <f t="shared" si="69"/>
        <v>13089</v>
      </c>
      <c r="L253" s="67">
        <f t="shared" si="69"/>
        <v>13180</v>
      </c>
      <c r="M253" s="67">
        <f t="shared" si="69"/>
        <v>13180</v>
      </c>
    </row>
    <row r="255" spans="1:13" x14ac:dyDescent="0.25">
      <c r="E255" s="90" t="s">
        <v>43</v>
      </c>
      <c r="F255" s="68" t="s">
        <v>123</v>
      </c>
      <c r="G255" s="91">
        <v>9054.99</v>
      </c>
      <c r="H255" s="91">
        <v>9317</v>
      </c>
      <c r="I255" s="91">
        <v>9300</v>
      </c>
      <c r="J255" s="91">
        <v>9525.85</v>
      </c>
      <c r="K255" s="91">
        <f>(326+261+193+61)*11</f>
        <v>9251</v>
      </c>
      <c r="L255" s="91">
        <f>K255</f>
        <v>9251</v>
      </c>
      <c r="M255" s="92">
        <f>L255</f>
        <v>9251</v>
      </c>
    </row>
    <row r="256" spans="1:13" x14ac:dyDescent="0.25">
      <c r="E256" s="98"/>
      <c r="F256" s="99" t="s">
        <v>176</v>
      </c>
      <c r="G256" s="100">
        <v>2040</v>
      </c>
      <c r="H256" s="100">
        <v>2040</v>
      </c>
      <c r="I256" s="100">
        <v>2040</v>
      </c>
      <c r="J256" s="100">
        <v>2370</v>
      </c>
      <c r="K256" s="100">
        <v>2400</v>
      </c>
      <c r="L256" s="100">
        <f>K256</f>
        <v>2400</v>
      </c>
      <c r="M256" s="101">
        <f>L256</f>
        <v>2400</v>
      </c>
    </row>
    <row r="258" spans="1:13" x14ac:dyDescent="0.25">
      <c r="D258" s="78" t="s">
        <v>177</v>
      </c>
      <c r="E258" s="78"/>
      <c r="F258" s="78"/>
      <c r="G258" s="78"/>
      <c r="H258" s="78"/>
      <c r="I258" s="78"/>
      <c r="J258" s="78"/>
      <c r="K258" s="78"/>
      <c r="L258" s="78"/>
      <c r="M258" s="78"/>
    </row>
    <row r="259" spans="1:13" x14ac:dyDescent="0.25">
      <c r="D259" s="63" t="s">
        <v>20</v>
      </c>
      <c r="E259" s="63" t="s">
        <v>21</v>
      </c>
      <c r="F259" s="63" t="s">
        <v>22</v>
      </c>
      <c r="G259" s="63" t="s">
        <v>1</v>
      </c>
      <c r="H259" s="63" t="s">
        <v>2</v>
      </c>
      <c r="I259" s="63" t="s">
        <v>3</v>
      </c>
      <c r="J259" s="63" t="s">
        <v>4</v>
      </c>
      <c r="K259" s="63" t="s">
        <v>5</v>
      </c>
      <c r="L259" s="63" t="s">
        <v>6</v>
      </c>
      <c r="M259" s="63" t="s">
        <v>7</v>
      </c>
    </row>
    <row r="260" spans="1:13" x14ac:dyDescent="0.25">
      <c r="A260" s="59">
        <v>5</v>
      </c>
      <c r="B260" s="59">
        <v>1</v>
      </c>
      <c r="C260" s="59">
        <v>4</v>
      </c>
      <c r="D260" s="79" t="s">
        <v>178</v>
      </c>
      <c r="E260" s="64">
        <v>630</v>
      </c>
      <c r="F260" s="64" t="s">
        <v>107</v>
      </c>
      <c r="G260" s="65">
        <v>0</v>
      </c>
      <c r="H260" s="65">
        <v>305</v>
      </c>
      <c r="I260" s="65">
        <v>100</v>
      </c>
      <c r="J260" s="65">
        <v>55</v>
      </c>
      <c r="K260" s="65">
        <v>100</v>
      </c>
      <c r="L260" s="65">
        <f>I260</f>
        <v>100</v>
      </c>
      <c r="M260" s="65">
        <f>L260</f>
        <v>100</v>
      </c>
    </row>
    <row r="261" spans="1:13" x14ac:dyDescent="0.25">
      <c r="A261" s="59">
        <v>5</v>
      </c>
      <c r="B261" s="59">
        <v>1</v>
      </c>
      <c r="C261" s="59">
        <v>4</v>
      </c>
      <c r="D261" s="81" t="s">
        <v>8</v>
      </c>
      <c r="E261" s="66">
        <v>41</v>
      </c>
      <c r="F261" s="66" t="s">
        <v>10</v>
      </c>
      <c r="G261" s="67">
        <f t="shared" ref="G261:M261" si="70">SUM(G260:G260)</f>
        <v>0</v>
      </c>
      <c r="H261" s="67">
        <f t="shared" si="70"/>
        <v>305</v>
      </c>
      <c r="I261" s="67">
        <f t="shared" si="70"/>
        <v>100</v>
      </c>
      <c r="J261" s="67">
        <f t="shared" si="70"/>
        <v>55</v>
      </c>
      <c r="K261" s="67">
        <f t="shared" si="70"/>
        <v>100</v>
      </c>
      <c r="L261" s="67">
        <f t="shared" si="70"/>
        <v>100</v>
      </c>
      <c r="M261" s="67">
        <f t="shared" si="70"/>
        <v>100</v>
      </c>
    </row>
    <row r="263" spans="1:13" x14ac:dyDescent="0.25">
      <c r="D263" s="76" t="s">
        <v>179</v>
      </c>
      <c r="E263" s="76"/>
      <c r="F263" s="76"/>
      <c r="G263" s="76"/>
      <c r="H263" s="76"/>
      <c r="I263" s="76"/>
      <c r="J263" s="76"/>
      <c r="K263" s="76"/>
      <c r="L263" s="76"/>
      <c r="M263" s="76"/>
    </row>
    <row r="264" spans="1:13" x14ac:dyDescent="0.25">
      <c r="D264" s="111"/>
      <c r="E264" s="111"/>
      <c r="F264" s="111"/>
      <c r="G264" s="63" t="s">
        <v>1</v>
      </c>
      <c r="H264" s="63" t="s">
        <v>2</v>
      </c>
      <c r="I264" s="63" t="s">
        <v>3</v>
      </c>
      <c r="J264" s="63" t="s">
        <v>4</v>
      </c>
      <c r="K264" s="63" t="s">
        <v>5</v>
      </c>
      <c r="L264" s="63" t="s">
        <v>6</v>
      </c>
      <c r="M264" s="63" t="s">
        <v>7</v>
      </c>
    </row>
    <row r="265" spans="1:13" x14ac:dyDescent="0.25">
      <c r="A265" s="59">
        <v>5</v>
      </c>
      <c r="B265" s="59">
        <v>2</v>
      </c>
      <c r="D265" s="77" t="s">
        <v>8</v>
      </c>
      <c r="E265" s="64">
        <v>111</v>
      </c>
      <c r="F265" s="64" t="s">
        <v>89</v>
      </c>
      <c r="G265" s="65">
        <f t="shared" ref="G265:M265" si="71">G289</f>
        <v>17749.349999999999</v>
      </c>
      <c r="H265" s="65">
        <f t="shared" si="71"/>
        <v>25239.919999999998</v>
      </c>
      <c r="I265" s="65">
        <f t="shared" si="71"/>
        <v>26328</v>
      </c>
      <c r="J265" s="65">
        <f t="shared" si="71"/>
        <v>37906.300000000003</v>
      </c>
      <c r="K265" s="65">
        <f t="shared" si="71"/>
        <v>19022</v>
      </c>
      <c r="L265" s="65">
        <f t="shared" si="71"/>
        <v>2217</v>
      </c>
      <c r="M265" s="65">
        <f t="shared" si="71"/>
        <v>0</v>
      </c>
    </row>
    <row r="266" spans="1:13" x14ac:dyDescent="0.25">
      <c r="A266" s="59">
        <v>5</v>
      </c>
      <c r="B266" s="59">
        <v>2</v>
      </c>
      <c r="D266" s="77" t="s">
        <v>8</v>
      </c>
      <c r="E266" s="64">
        <v>41</v>
      </c>
      <c r="F266" s="64" t="s">
        <v>10</v>
      </c>
      <c r="G266" s="65">
        <f t="shared" ref="G266:M266" si="72">G273+G282+G294</f>
        <v>63205.35</v>
      </c>
      <c r="H266" s="65">
        <f t="shared" si="72"/>
        <v>27434.47</v>
      </c>
      <c r="I266" s="65">
        <f t="shared" si="72"/>
        <v>28245</v>
      </c>
      <c r="J266" s="65">
        <f t="shared" si="72"/>
        <v>31630.62</v>
      </c>
      <c r="K266" s="65">
        <f t="shared" si="72"/>
        <v>22395</v>
      </c>
      <c r="L266" s="65">
        <f t="shared" si="72"/>
        <v>12400</v>
      </c>
      <c r="M266" s="65">
        <f t="shared" si="72"/>
        <v>10000</v>
      </c>
    </row>
    <row r="267" spans="1:13" x14ac:dyDescent="0.25">
      <c r="D267" s="68"/>
      <c r="E267" s="69"/>
      <c r="F267" s="66" t="s">
        <v>18</v>
      </c>
      <c r="G267" s="67">
        <f t="shared" ref="G267:M267" si="73">SUM(G266:G266)</f>
        <v>63205.35</v>
      </c>
      <c r="H267" s="67">
        <f t="shared" si="73"/>
        <v>27434.47</v>
      </c>
      <c r="I267" s="67">
        <f t="shared" si="73"/>
        <v>28245</v>
      </c>
      <c r="J267" s="67">
        <f t="shared" si="73"/>
        <v>31630.62</v>
      </c>
      <c r="K267" s="67">
        <f t="shared" si="73"/>
        <v>22395</v>
      </c>
      <c r="L267" s="67">
        <f t="shared" si="73"/>
        <v>12400</v>
      </c>
      <c r="M267" s="67">
        <f t="shared" si="73"/>
        <v>10000</v>
      </c>
    </row>
    <row r="269" spans="1:13" x14ac:dyDescent="0.25">
      <c r="D269" s="78" t="s">
        <v>180</v>
      </c>
      <c r="E269" s="78"/>
      <c r="F269" s="78"/>
      <c r="G269" s="78"/>
      <c r="H269" s="78"/>
      <c r="I269" s="78"/>
      <c r="J269" s="78"/>
      <c r="K269" s="78"/>
      <c r="L269" s="78"/>
      <c r="M269" s="78"/>
    </row>
    <row r="270" spans="1:13" x14ac:dyDescent="0.25">
      <c r="D270" s="63" t="s">
        <v>20</v>
      </c>
      <c r="E270" s="63" t="s">
        <v>21</v>
      </c>
      <c r="F270" s="63" t="s">
        <v>22</v>
      </c>
      <c r="G270" s="63" t="s">
        <v>1</v>
      </c>
      <c r="H270" s="63" t="s">
        <v>2</v>
      </c>
      <c r="I270" s="63" t="s">
        <v>3</v>
      </c>
      <c r="J270" s="63" t="s">
        <v>4</v>
      </c>
      <c r="K270" s="63" t="s">
        <v>5</v>
      </c>
      <c r="L270" s="63" t="s">
        <v>6</v>
      </c>
      <c r="M270" s="63" t="s">
        <v>7</v>
      </c>
    </row>
    <row r="271" spans="1:13" x14ac:dyDescent="0.25">
      <c r="A271" s="59">
        <v>5</v>
      </c>
      <c r="B271" s="59">
        <v>2</v>
      </c>
      <c r="C271" s="59">
        <v>1</v>
      </c>
      <c r="D271" s="2" t="s">
        <v>181</v>
      </c>
      <c r="E271" s="64">
        <v>630</v>
      </c>
      <c r="F271" s="64" t="s">
        <v>107</v>
      </c>
      <c r="G271" s="65">
        <v>41754.86</v>
      </c>
      <c r="H271" s="65">
        <v>14295.99</v>
      </c>
      <c r="I271" s="65">
        <v>15100</v>
      </c>
      <c r="J271" s="65">
        <v>3959.21</v>
      </c>
      <c r="K271" s="65">
        <f>SUM(K275:K277)</f>
        <v>7000</v>
      </c>
      <c r="L271" s="65">
        <f>K271</f>
        <v>7000</v>
      </c>
      <c r="M271" s="65">
        <f>L271</f>
        <v>7000</v>
      </c>
    </row>
    <row r="272" spans="1:13" x14ac:dyDescent="0.25">
      <c r="A272" s="59">
        <v>5</v>
      </c>
      <c r="B272" s="59">
        <v>2</v>
      </c>
      <c r="C272" s="59">
        <v>1</v>
      </c>
      <c r="D272" s="2"/>
      <c r="E272" s="64">
        <v>640</v>
      </c>
      <c r="F272" s="64" t="s">
        <v>108</v>
      </c>
      <c r="G272" s="65">
        <v>2800</v>
      </c>
      <c r="H272" s="65">
        <v>0</v>
      </c>
      <c r="I272" s="65">
        <v>0</v>
      </c>
      <c r="J272" s="65">
        <v>0</v>
      </c>
      <c r="K272" s="65">
        <v>0</v>
      </c>
      <c r="L272" s="65">
        <f>K272</f>
        <v>0</v>
      </c>
      <c r="M272" s="65">
        <f>L272</f>
        <v>0</v>
      </c>
    </row>
    <row r="273" spans="1:13" x14ac:dyDescent="0.25">
      <c r="A273" s="59">
        <v>5</v>
      </c>
      <c r="B273" s="59">
        <v>2</v>
      </c>
      <c r="C273" s="59">
        <v>1</v>
      </c>
      <c r="D273" s="81" t="s">
        <v>8</v>
      </c>
      <c r="E273" s="66">
        <v>41</v>
      </c>
      <c r="F273" s="66" t="s">
        <v>10</v>
      </c>
      <c r="G273" s="67">
        <f t="shared" ref="G273:M273" si="74">SUM(G271:G272)</f>
        <v>44554.86</v>
      </c>
      <c r="H273" s="67">
        <f t="shared" si="74"/>
        <v>14295.99</v>
      </c>
      <c r="I273" s="67">
        <f t="shared" si="74"/>
        <v>15100</v>
      </c>
      <c r="J273" s="67">
        <f t="shared" si="74"/>
        <v>3959.21</v>
      </c>
      <c r="K273" s="67">
        <f t="shared" si="74"/>
        <v>7000</v>
      </c>
      <c r="L273" s="67">
        <f t="shared" si="74"/>
        <v>7000</v>
      </c>
      <c r="M273" s="67">
        <f t="shared" si="74"/>
        <v>7000</v>
      </c>
    </row>
    <row r="275" spans="1:13" x14ac:dyDescent="0.25">
      <c r="E275" s="90" t="s">
        <v>43</v>
      </c>
      <c r="F275" s="68" t="s">
        <v>182</v>
      </c>
      <c r="G275" s="91">
        <v>544.67999999999995</v>
      </c>
      <c r="H275" s="91">
        <v>1584.1</v>
      </c>
      <c r="I275" s="91">
        <v>4600</v>
      </c>
      <c r="J275" s="91">
        <f>462+642.36</f>
        <v>1104.3600000000001</v>
      </c>
      <c r="K275" s="91">
        <v>4500</v>
      </c>
      <c r="L275" s="91">
        <f t="shared" ref="L275:M277" si="75">K275</f>
        <v>4500</v>
      </c>
      <c r="M275" s="92">
        <f t="shared" si="75"/>
        <v>4500</v>
      </c>
    </row>
    <row r="276" spans="1:13" x14ac:dyDescent="0.25">
      <c r="E276" s="93"/>
      <c r="F276" s="106" t="s">
        <v>183</v>
      </c>
      <c r="G276" s="94">
        <v>29609.74</v>
      </c>
      <c r="H276" s="94">
        <v>6791.76</v>
      </c>
      <c r="I276" s="94">
        <v>6700</v>
      </c>
      <c r="J276" s="94">
        <v>1415.59</v>
      </c>
      <c r="K276" s="94">
        <v>1500</v>
      </c>
      <c r="L276" s="94">
        <f t="shared" si="75"/>
        <v>1500</v>
      </c>
      <c r="M276" s="95">
        <f t="shared" si="75"/>
        <v>1500</v>
      </c>
    </row>
    <row r="277" spans="1:13" x14ac:dyDescent="0.25">
      <c r="E277" s="98"/>
      <c r="F277" s="99" t="s">
        <v>184</v>
      </c>
      <c r="G277" s="100">
        <v>10960.44</v>
      </c>
      <c r="H277" s="100">
        <v>3727.48</v>
      </c>
      <c r="I277" s="100">
        <v>3700</v>
      </c>
      <c r="J277" s="100">
        <v>358.42</v>
      </c>
      <c r="K277" s="100">
        <v>1000</v>
      </c>
      <c r="L277" s="100">
        <f t="shared" si="75"/>
        <v>1000</v>
      </c>
      <c r="M277" s="101">
        <f t="shared" si="75"/>
        <v>1000</v>
      </c>
    </row>
    <row r="278" spans="1:13" x14ac:dyDescent="0.25">
      <c r="G278" s="94"/>
      <c r="H278" s="94"/>
      <c r="I278" s="94"/>
      <c r="J278" s="94"/>
      <c r="K278" s="94"/>
      <c r="L278" s="94"/>
      <c r="M278" s="94"/>
    </row>
    <row r="279" spans="1:13" x14ac:dyDescent="0.25">
      <c r="D279" s="78" t="s">
        <v>185</v>
      </c>
      <c r="E279" s="78"/>
      <c r="F279" s="78"/>
      <c r="G279" s="78"/>
      <c r="H279" s="78"/>
      <c r="I279" s="78"/>
      <c r="J279" s="78"/>
      <c r="K279" s="78"/>
      <c r="L279" s="78"/>
      <c r="M279" s="78"/>
    </row>
    <row r="280" spans="1:13" x14ac:dyDescent="0.25">
      <c r="D280" s="63" t="s">
        <v>20</v>
      </c>
      <c r="E280" s="63" t="s">
        <v>21</v>
      </c>
      <c r="F280" s="63" t="s">
        <v>22</v>
      </c>
      <c r="G280" s="63" t="s">
        <v>1</v>
      </c>
      <c r="H280" s="63" t="s">
        <v>2</v>
      </c>
      <c r="I280" s="63" t="s">
        <v>3</v>
      </c>
      <c r="J280" s="63" t="s">
        <v>4</v>
      </c>
      <c r="K280" s="63" t="s">
        <v>5</v>
      </c>
      <c r="L280" s="63" t="s">
        <v>6</v>
      </c>
      <c r="M280" s="63" t="s">
        <v>7</v>
      </c>
    </row>
    <row r="281" spans="1:13" x14ac:dyDescent="0.25">
      <c r="A281" s="59">
        <v>5</v>
      </c>
      <c r="B281" s="59">
        <v>2</v>
      </c>
      <c r="C281" s="59">
        <v>2</v>
      </c>
      <c r="D281" s="79" t="s">
        <v>186</v>
      </c>
      <c r="E281" s="64">
        <v>630</v>
      </c>
      <c r="F281" s="64" t="s">
        <v>107</v>
      </c>
      <c r="G281" s="65">
        <v>971.53</v>
      </c>
      <c r="H281" s="65">
        <v>761.78</v>
      </c>
      <c r="I281" s="65">
        <v>1500</v>
      </c>
      <c r="J281" s="65">
        <v>2933.5</v>
      </c>
      <c r="K281" s="65">
        <v>3000</v>
      </c>
      <c r="L281" s="65">
        <f>K281</f>
        <v>3000</v>
      </c>
      <c r="M281" s="65">
        <f>L281</f>
        <v>3000</v>
      </c>
    </row>
    <row r="282" spans="1:13" x14ac:dyDescent="0.25">
      <c r="A282" s="59">
        <v>5</v>
      </c>
      <c r="B282" s="59">
        <v>2</v>
      </c>
      <c r="C282" s="59">
        <v>2</v>
      </c>
      <c r="D282" s="81" t="s">
        <v>8</v>
      </c>
      <c r="E282" s="66">
        <v>41</v>
      </c>
      <c r="F282" s="66" t="s">
        <v>10</v>
      </c>
      <c r="G282" s="67">
        <f t="shared" ref="G282:M282" si="76">SUM(G281:G281)</f>
        <v>971.53</v>
      </c>
      <c r="H282" s="67">
        <f t="shared" si="76"/>
        <v>761.78</v>
      </c>
      <c r="I282" s="67">
        <f t="shared" si="76"/>
        <v>1500</v>
      </c>
      <c r="J282" s="67">
        <f t="shared" si="76"/>
        <v>2933.5</v>
      </c>
      <c r="K282" s="67">
        <f t="shared" si="76"/>
        <v>3000</v>
      </c>
      <c r="L282" s="67">
        <f t="shared" si="76"/>
        <v>3000</v>
      </c>
      <c r="M282" s="67">
        <f t="shared" si="76"/>
        <v>3000</v>
      </c>
    </row>
    <row r="284" spans="1:13" x14ac:dyDescent="0.25">
      <c r="D284" s="78" t="s">
        <v>187</v>
      </c>
      <c r="E284" s="78"/>
      <c r="F284" s="78"/>
      <c r="G284" s="78"/>
      <c r="H284" s="78"/>
      <c r="I284" s="78"/>
      <c r="J284" s="78"/>
      <c r="K284" s="78"/>
      <c r="L284" s="78"/>
      <c r="M284" s="78"/>
    </row>
    <row r="285" spans="1:13" x14ac:dyDescent="0.25">
      <c r="D285" s="63" t="s">
        <v>20</v>
      </c>
      <c r="E285" s="63" t="s">
        <v>21</v>
      </c>
      <c r="F285" s="63" t="s">
        <v>22</v>
      </c>
      <c r="G285" s="63" t="s">
        <v>1</v>
      </c>
      <c r="H285" s="63" t="s">
        <v>2</v>
      </c>
      <c r="I285" s="63" t="s">
        <v>3</v>
      </c>
      <c r="J285" s="63" t="s">
        <v>4</v>
      </c>
      <c r="K285" s="63" t="s">
        <v>5</v>
      </c>
      <c r="L285" s="63" t="s">
        <v>6</v>
      </c>
      <c r="M285" s="63" t="s">
        <v>7</v>
      </c>
    </row>
    <row r="286" spans="1:13" x14ac:dyDescent="0.25">
      <c r="A286" s="59">
        <v>5</v>
      </c>
      <c r="B286" s="59">
        <v>2</v>
      </c>
      <c r="C286" s="59">
        <v>3</v>
      </c>
      <c r="D286" s="3" t="s">
        <v>186</v>
      </c>
      <c r="E286" s="64">
        <v>610</v>
      </c>
      <c r="F286" s="64" t="s">
        <v>105</v>
      </c>
      <c r="G286" s="65">
        <v>13176.56</v>
      </c>
      <c r="H286" s="65">
        <v>18703.16</v>
      </c>
      <c r="I286" s="65">
        <v>19330</v>
      </c>
      <c r="J286" s="65">
        <v>27712.89</v>
      </c>
      <c r="K286" s="65">
        <f>4745+7424</f>
        <v>12169</v>
      </c>
      <c r="L286" s="65">
        <f>1160</f>
        <v>1160</v>
      </c>
      <c r="M286" s="65">
        <v>0</v>
      </c>
    </row>
    <row r="287" spans="1:13" x14ac:dyDescent="0.25">
      <c r="A287" s="59">
        <v>5</v>
      </c>
      <c r="B287" s="59">
        <v>2</v>
      </c>
      <c r="C287" s="59">
        <v>3</v>
      </c>
      <c r="D287" s="3"/>
      <c r="E287" s="64">
        <v>620</v>
      </c>
      <c r="F287" s="64" t="s">
        <v>106</v>
      </c>
      <c r="G287" s="65">
        <v>4572.79</v>
      </c>
      <c r="H287" s="65">
        <v>6536.76</v>
      </c>
      <c r="I287" s="65">
        <v>6998</v>
      </c>
      <c r="J287" s="65">
        <v>9788.5</v>
      </c>
      <c r="K287" s="65">
        <f>1658+2600+2595</f>
        <v>6853</v>
      </c>
      <c r="L287" s="65">
        <f>405+163*4</f>
        <v>1057</v>
      </c>
      <c r="M287" s="65">
        <v>0</v>
      </c>
    </row>
    <row r="288" spans="1:13" x14ac:dyDescent="0.25">
      <c r="A288" s="59">
        <v>5</v>
      </c>
      <c r="B288" s="59">
        <v>2</v>
      </c>
      <c r="C288" s="59">
        <v>3</v>
      </c>
      <c r="D288" s="3"/>
      <c r="E288" s="64">
        <v>630</v>
      </c>
      <c r="F288" s="64" t="s">
        <v>107</v>
      </c>
      <c r="G288" s="65">
        <v>0</v>
      </c>
      <c r="H288" s="65">
        <v>0</v>
      </c>
      <c r="I288" s="65">
        <v>0</v>
      </c>
      <c r="J288" s="65">
        <v>404.91</v>
      </c>
      <c r="K288" s="65">
        <v>0</v>
      </c>
      <c r="L288" s="65">
        <f>K288</f>
        <v>0</v>
      </c>
      <c r="M288" s="65">
        <f>L288</f>
        <v>0</v>
      </c>
    </row>
    <row r="289" spans="1:13" x14ac:dyDescent="0.25">
      <c r="A289" s="59">
        <v>5</v>
      </c>
      <c r="B289" s="59">
        <v>2</v>
      </c>
      <c r="C289" s="59">
        <v>3</v>
      </c>
      <c r="D289" s="112" t="s">
        <v>8</v>
      </c>
      <c r="E289" s="113" t="s">
        <v>188</v>
      </c>
      <c r="F289" s="103" t="s">
        <v>189</v>
      </c>
      <c r="G289" s="104">
        <f t="shared" ref="G289:M289" si="77">SUM(G286:G288)</f>
        <v>17749.349999999999</v>
      </c>
      <c r="H289" s="104">
        <f t="shared" si="77"/>
        <v>25239.919999999998</v>
      </c>
      <c r="I289" s="104">
        <f t="shared" si="77"/>
        <v>26328</v>
      </c>
      <c r="J289" s="104">
        <f t="shared" si="77"/>
        <v>37906.300000000003</v>
      </c>
      <c r="K289" s="104">
        <f t="shared" si="77"/>
        <v>19022</v>
      </c>
      <c r="L289" s="104">
        <f t="shared" si="77"/>
        <v>2217</v>
      </c>
      <c r="M289" s="104">
        <f t="shared" si="77"/>
        <v>0</v>
      </c>
    </row>
    <row r="290" spans="1:13" x14ac:dyDescent="0.25">
      <c r="A290" s="59">
        <v>5</v>
      </c>
      <c r="B290" s="59">
        <v>2</v>
      </c>
      <c r="C290" s="59">
        <v>3</v>
      </c>
      <c r="D290" s="3" t="s">
        <v>186</v>
      </c>
      <c r="E290" s="64">
        <v>610</v>
      </c>
      <c r="F290" s="64" t="s">
        <v>105</v>
      </c>
      <c r="G290" s="65">
        <v>11297.46</v>
      </c>
      <c r="H290" s="65">
        <v>7034.37</v>
      </c>
      <c r="I290" s="65">
        <v>6590</v>
      </c>
      <c r="J290" s="65">
        <v>14361.67</v>
      </c>
      <c r="K290" s="65">
        <f>1856+7440</f>
        <v>9296</v>
      </c>
      <c r="L290" s="65">
        <f>465*4</f>
        <v>1860</v>
      </c>
      <c r="M290" s="65">
        <v>0</v>
      </c>
    </row>
    <row r="291" spans="1:13" x14ac:dyDescent="0.25">
      <c r="A291" s="59">
        <v>5</v>
      </c>
      <c r="B291" s="59">
        <v>2</v>
      </c>
      <c r="C291" s="59">
        <v>3</v>
      </c>
      <c r="D291" s="3"/>
      <c r="E291" s="64">
        <v>620</v>
      </c>
      <c r="F291" s="64" t="s">
        <v>106</v>
      </c>
      <c r="G291" s="65">
        <v>4209.9399999999996</v>
      </c>
      <c r="H291" s="65">
        <v>2496.7600000000002</v>
      </c>
      <c r="I291" s="65">
        <v>2061</v>
      </c>
      <c r="J291" s="65">
        <v>4903.17</v>
      </c>
      <c r="K291" s="65">
        <f>649</f>
        <v>649</v>
      </c>
      <c r="L291" s="65">
        <v>0</v>
      </c>
      <c r="M291" s="65">
        <v>0</v>
      </c>
    </row>
    <row r="292" spans="1:13" x14ac:dyDescent="0.25">
      <c r="A292" s="59">
        <v>5</v>
      </c>
      <c r="B292" s="59">
        <v>2</v>
      </c>
      <c r="C292" s="59">
        <v>3</v>
      </c>
      <c r="D292" s="3"/>
      <c r="E292" s="64">
        <v>630</v>
      </c>
      <c r="F292" s="64" t="s">
        <v>107</v>
      </c>
      <c r="G292" s="65">
        <v>2082.5700000000002</v>
      </c>
      <c r="H292" s="65">
        <v>2845.57</v>
      </c>
      <c r="I292" s="65">
        <v>2994</v>
      </c>
      <c r="J292" s="65">
        <v>5336.29</v>
      </c>
      <c r="K292" s="65">
        <v>2450</v>
      </c>
      <c r="L292" s="65">
        <v>540</v>
      </c>
      <c r="M292" s="65">
        <v>0</v>
      </c>
    </row>
    <row r="293" spans="1:13" x14ac:dyDescent="0.25">
      <c r="A293" s="59">
        <v>5</v>
      </c>
      <c r="B293" s="59">
        <v>2</v>
      </c>
      <c r="C293" s="59">
        <v>3</v>
      </c>
      <c r="D293" s="3"/>
      <c r="E293" s="64">
        <v>640</v>
      </c>
      <c r="F293" s="64" t="s">
        <v>108</v>
      </c>
      <c r="G293" s="65">
        <v>88.99</v>
      </c>
      <c r="H293" s="65">
        <v>0</v>
      </c>
      <c r="I293" s="65">
        <v>0</v>
      </c>
      <c r="J293" s="65">
        <v>136.78</v>
      </c>
      <c r="K293" s="65">
        <v>0</v>
      </c>
      <c r="L293" s="65">
        <v>0</v>
      </c>
      <c r="M293" s="65">
        <v>0</v>
      </c>
    </row>
    <row r="294" spans="1:13" x14ac:dyDescent="0.25">
      <c r="A294" s="59">
        <v>5</v>
      </c>
      <c r="B294" s="59">
        <v>2</v>
      </c>
      <c r="C294" s="59">
        <v>3</v>
      </c>
      <c r="D294" s="112" t="s">
        <v>8</v>
      </c>
      <c r="E294" s="103">
        <v>41</v>
      </c>
      <c r="F294" s="103" t="s">
        <v>10</v>
      </c>
      <c r="G294" s="104">
        <f t="shared" ref="G294:M294" si="78">SUM(G290:G293)</f>
        <v>17678.96</v>
      </c>
      <c r="H294" s="104">
        <f t="shared" si="78"/>
        <v>12376.7</v>
      </c>
      <c r="I294" s="104">
        <f t="shared" si="78"/>
        <v>11645</v>
      </c>
      <c r="J294" s="104">
        <f t="shared" si="78"/>
        <v>24737.91</v>
      </c>
      <c r="K294" s="104">
        <f t="shared" si="78"/>
        <v>12395</v>
      </c>
      <c r="L294" s="104">
        <f t="shared" si="78"/>
        <v>2400</v>
      </c>
      <c r="M294" s="104">
        <f t="shared" si="78"/>
        <v>0</v>
      </c>
    </row>
    <row r="295" spans="1:13" x14ac:dyDescent="0.25">
      <c r="D295" s="68"/>
      <c r="E295" s="69"/>
      <c r="F295" s="66" t="s">
        <v>18</v>
      </c>
      <c r="G295" s="67">
        <f t="shared" ref="G295:M295" si="79">G289+G294</f>
        <v>35428.31</v>
      </c>
      <c r="H295" s="67">
        <f t="shared" si="79"/>
        <v>37616.619999999995</v>
      </c>
      <c r="I295" s="67">
        <f t="shared" si="79"/>
        <v>37973</v>
      </c>
      <c r="J295" s="67">
        <f t="shared" si="79"/>
        <v>62644.210000000006</v>
      </c>
      <c r="K295" s="67">
        <f t="shared" si="79"/>
        <v>31417</v>
      </c>
      <c r="L295" s="67">
        <f t="shared" si="79"/>
        <v>4617</v>
      </c>
      <c r="M295" s="67">
        <f t="shared" si="79"/>
        <v>0</v>
      </c>
    </row>
    <row r="297" spans="1:13" x14ac:dyDescent="0.25">
      <c r="D297" s="70" t="s">
        <v>190</v>
      </c>
      <c r="E297" s="70"/>
      <c r="F297" s="70"/>
      <c r="G297" s="70"/>
      <c r="H297" s="70"/>
      <c r="I297" s="70"/>
      <c r="J297" s="70"/>
      <c r="K297" s="70"/>
      <c r="L297" s="70"/>
      <c r="M297" s="70"/>
    </row>
    <row r="298" spans="1:13" x14ac:dyDescent="0.25">
      <c r="D298" s="62"/>
      <c r="E298" s="62"/>
      <c r="F298" s="62"/>
      <c r="G298" s="63" t="s">
        <v>1</v>
      </c>
      <c r="H298" s="63" t="s">
        <v>2</v>
      </c>
      <c r="I298" s="63" t="s">
        <v>3</v>
      </c>
      <c r="J298" s="63" t="s">
        <v>4</v>
      </c>
      <c r="K298" s="63" t="s">
        <v>5</v>
      </c>
      <c r="L298" s="63" t="s">
        <v>6</v>
      </c>
      <c r="M298" s="63" t="s">
        <v>7</v>
      </c>
    </row>
    <row r="299" spans="1:13" x14ac:dyDescent="0.25">
      <c r="A299" s="59">
        <v>6</v>
      </c>
      <c r="D299" s="71" t="s">
        <v>8</v>
      </c>
      <c r="E299" s="72">
        <v>41</v>
      </c>
      <c r="F299" s="72" t="s">
        <v>10</v>
      </c>
      <c r="G299" s="73">
        <f t="shared" ref="G299:M299" si="80">G305+G328+G362</f>
        <v>69040.48000000001</v>
      </c>
      <c r="H299" s="73">
        <f t="shared" si="80"/>
        <v>50038.47</v>
      </c>
      <c r="I299" s="73">
        <f t="shared" si="80"/>
        <v>44400</v>
      </c>
      <c r="J299" s="73">
        <f t="shared" si="80"/>
        <v>34403.53</v>
      </c>
      <c r="K299" s="73">
        <f t="shared" si="80"/>
        <v>46590</v>
      </c>
      <c r="L299" s="73">
        <f t="shared" si="80"/>
        <v>34730</v>
      </c>
      <c r="M299" s="73">
        <f t="shared" si="80"/>
        <v>34730</v>
      </c>
    </row>
    <row r="300" spans="1:13" x14ac:dyDescent="0.25">
      <c r="D300" s="68"/>
      <c r="E300" s="69"/>
      <c r="F300" s="74" t="s">
        <v>18</v>
      </c>
      <c r="G300" s="75">
        <f t="shared" ref="G300:M300" si="81">SUM(G299:G299)</f>
        <v>69040.48000000001</v>
      </c>
      <c r="H300" s="75">
        <f t="shared" si="81"/>
        <v>50038.47</v>
      </c>
      <c r="I300" s="75">
        <f t="shared" si="81"/>
        <v>44400</v>
      </c>
      <c r="J300" s="75">
        <f t="shared" si="81"/>
        <v>34403.53</v>
      </c>
      <c r="K300" s="75">
        <f t="shared" si="81"/>
        <v>46590</v>
      </c>
      <c r="L300" s="75">
        <f t="shared" si="81"/>
        <v>34730</v>
      </c>
      <c r="M300" s="75">
        <f t="shared" si="81"/>
        <v>34730</v>
      </c>
    </row>
    <row r="302" spans="1:13" x14ac:dyDescent="0.25">
      <c r="D302" s="76" t="s">
        <v>191</v>
      </c>
      <c r="E302" s="76"/>
      <c r="F302" s="76"/>
      <c r="G302" s="76"/>
      <c r="H302" s="76"/>
      <c r="I302" s="76"/>
      <c r="J302" s="76"/>
      <c r="K302" s="76"/>
      <c r="L302" s="76"/>
      <c r="M302" s="76"/>
    </row>
    <row r="303" spans="1:13" x14ac:dyDescent="0.25">
      <c r="D303" s="111"/>
      <c r="E303" s="111"/>
      <c r="F303" s="111"/>
      <c r="G303" s="63" t="s">
        <v>1</v>
      </c>
      <c r="H303" s="63" t="s">
        <v>2</v>
      </c>
      <c r="I303" s="63" t="s">
        <v>3</v>
      </c>
      <c r="J303" s="63" t="s">
        <v>4</v>
      </c>
      <c r="K303" s="63" t="s">
        <v>5</v>
      </c>
      <c r="L303" s="63" t="s">
        <v>6</v>
      </c>
      <c r="M303" s="63" t="s">
        <v>7</v>
      </c>
    </row>
    <row r="304" spans="1:13" x14ac:dyDescent="0.25">
      <c r="A304" s="59">
        <v>6</v>
      </c>
      <c r="B304" s="59">
        <v>1</v>
      </c>
      <c r="D304" s="77" t="s">
        <v>8</v>
      </c>
      <c r="E304" s="64">
        <v>41</v>
      </c>
      <c r="F304" s="64" t="s">
        <v>10</v>
      </c>
      <c r="G304" s="65">
        <f t="shared" ref="G304:M304" si="82">G313+G318</f>
        <v>23331.760000000002</v>
      </c>
      <c r="H304" s="65">
        <f t="shared" si="82"/>
        <v>23164.289999999997</v>
      </c>
      <c r="I304" s="65">
        <f t="shared" si="82"/>
        <v>11000</v>
      </c>
      <c r="J304" s="65">
        <f t="shared" si="82"/>
        <v>10380.959999999999</v>
      </c>
      <c r="K304" s="65">
        <f t="shared" si="82"/>
        <v>9159</v>
      </c>
      <c r="L304" s="65">
        <f t="shared" si="82"/>
        <v>10309</v>
      </c>
      <c r="M304" s="65">
        <f t="shared" si="82"/>
        <v>10309</v>
      </c>
    </row>
    <row r="305" spans="1:13" x14ac:dyDescent="0.25">
      <c r="A305" s="59">
        <v>6</v>
      </c>
      <c r="B305" s="59">
        <v>1</v>
      </c>
      <c r="D305" s="68"/>
      <c r="E305" s="69"/>
      <c r="F305" s="66" t="s">
        <v>18</v>
      </c>
      <c r="G305" s="67">
        <f t="shared" ref="G305:M305" si="83">SUM(G304:G304)</f>
        <v>23331.760000000002</v>
      </c>
      <c r="H305" s="67">
        <f t="shared" si="83"/>
        <v>23164.289999999997</v>
      </c>
      <c r="I305" s="67">
        <f t="shared" si="83"/>
        <v>11000</v>
      </c>
      <c r="J305" s="67">
        <f t="shared" si="83"/>
        <v>10380.959999999999</v>
      </c>
      <c r="K305" s="67">
        <f t="shared" si="83"/>
        <v>9159</v>
      </c>
      <c r="L305" s="67">
        <f t="shared" si="83"/>
        <v>10309</v>
      </c>
      <c r="M305" s="67">
        <f t="shared" si="83"/>
        <v>10309</v>
      </c>
    </row>
    <row r="307" spans="1:13" x14ac:dyDescent="0.25">
      <c r="D307" s="78" t="s">
        <v>192</v>
      </c>
      <c r="E307" s="78"/>
      <c r="F307" s="78"/>
      <c r="G307" s="78"/>
      <c r="H307" s="78"/>
      <c r="I307" s="78"/>
      <c r="J307" s="78"/>
      <c r="K307" s="78"/>
      <c r="L307" s="78"/>
      <c r="M307" s="78"/>
    </row>
    <row r="308" spans="1:13" x14ac:dyDescent="0.25">
      <c r="D308" s="63" t="s">
        <v>20</v>
      </c>
      <c r="E308" s="63" t="s">
        <v>21</v>
      </c>
      <c r="F308" s="63" t="s">
        <v>22</v>
      </c>
      <c r="G308" s="63" t="s">
        <v>1</v>
      </c>
      <c r="H308" s="63" t="s">
        <v>2</v>
      </c>
      <c r="I308" s="63" t="s">
        <v>3</v>
      </c>
      <c r="J308" s="63" t="s">
        <v>4</v>
      </c>
      <c r="K308" s="63" t="s">
        <v>5</v>
      </c>
      <c r="L308" s="63" t="s">
        <v>6</v>
      </c>
      <c r="M308" s="63" t="s">
        <v>7</v>
      </c>
    </row>
    <row r="309" spans="1:13" x14ac:dyDescent="0.25">
      <c r="A309" s="59">
        <v>6</v>
      </c>
      <c r="B309" s="59">
        <v>1</v>
      </c>
      <c r="C309" s="59">
        <v>1</v>
      </c>
      <c r="D309" s="3" t="s">
        <v>193</v>
      </c>
      <c r="E309" s="64">
        <v>610</v>
      </c>
      <c r="F309" s="64" t="s">
        <v>105</v>
      </c>
      <c r="G309" s="65">
        <v>7700.41</v>
      </c>
      <c r="H309" s="65">
        <v>2414.62</v>
      </c>
      <c r="I309" s="65">
        <v>0</v>
      </c>
      <c r="J309" s="65">
        <v>0</v>
      </c>
      <c r="K309" s="65">
        <v>0</v>
      </c>
      <c r="L309" s="65">
        <f>I309</f>
        <v>0</v>
      </c>
      <c r="M309" s="65">
        <f>L309</f>
        <v>0</v>
      </c>
    </row>
    <row r="310" spans="1:13" x14ac:dyDescent="0.25">
      <c r="A310" s="59">
        <v>6</v>
      </c>
      <c r="B310" s="59">
        <v>1</v>
      </c>
      <c r="C310" s="59">
        <v>1</v>
      </c>
      <c r="D310" s="3"/>
      <c r="E310" s="64">
        <v>620</v>
      </c>
      <c r="F310" s="64" t="s">
        <v>106</v>
      </c>
      <c r="G310" s="65">
        <v>3208.26</v>
      </c>
      <c r="H310" s="65">
        <v>1550.51</v>
      </c>
      <c r="I310" s="65">
        <v>0</v>
      </c>
      <c r="J310" s="65">
        <v>108.36</v>
      </c>
      <c r="K310" s="65">
        <v>0</v>
      </c>
      <c r="L310" s="65">
        <f>I310</f>
        <v>0</v>
      </c>
      <c r="M310" s="65">
        <f>L310</f>
        <v>0</v>
      </c>
    </row>
    <row r="311" spans="1:13" x14ac:dyDescent="0.25">
      <c r="A311" s="59">
        <v>6</v>
      </c>
      <c r="B311" s="59">
        <v>1</v>
      </c>
      <c r="C311" s="59">
        <v>1</v>
      </c>
      <c r="D311" s="3"/>
      <c r="E311" s="64">
        <v>630</v>
      </c>
      <c r="F311" s="64" t="s">
        <v>107</v>
      </c>
      <c r="G311" s="65">
        <v>9555.19</v>
      </c>
      <c r="H311" s="65">
        <v>14318.22</v>
      </c>
      <c r="I311" s="65">
        <f>1300+2500</f>
        <v>3800</v>
      </c>
      <c r="J311" s="65">
        <v>4964.8100000000004</v>
      </c>
      <c r="K311" s="65">
        <f>3800-1505+814</f>
        <v>3109</v>
      </c>
      <c r="L311" s="65">
        <f>K311</f>
        <v>3109</v>
      </c>
      <c r="M311" s="65">
        <f>L311</f>
        <v>3109</v>
      </c>
    </row>
    <row r="312" spans="1:13" x14ac:dyDescent="0.25">
      <c r="A312" s="59">
        <v>6</v>
      </c>
      <c r="B312" s="59">
        <v>1</v>
      </c>
      <c r="C312" s="59">
        <v>1</v>
      </c>
      <c r="D312" s="3"/>
      <c r="E312" s="64">
        <v>640</v>
      </c>
      <c r="F312" s="64" t="s">
        <v>108</v>
      </c>
      <c r="G312" s="65">
        <v>0</v>
      </c>
      <c r="H312" s="65">
        <v>1421.96</v>
      </c>
      <c r="I312" s="65">
        <v>4200</v>
      </c>
      <c r="J312" s="65">
        <v>3117.79</v>
      </c>
      <c r="K312" s="65">
        <v>4200</v>
      </c>
      <c r="L312" s="65">
        <f>K312</f>
        <v>4200</v>
      </c>
      <c r="M312" s="65">
        <f>L312</f>
        <v>4200</v>
      </c>
    </row>
    <row r="313" spans="1:13" x14ac:dyDescent="0.25">
      <c r="A313" s="59">
        <v>6</v>
      </c>
      <c r="B313" s="59">
        <v>1</v>
      </c>
      <c r="C313" s="59">
        <v>1</v>
      </c>
      <c r="D313" s="81" t="s">
        <v>8</v>
      </c>
      <c r="E313" s="66">
        <v>41</v>
      </c>
      <c r="F313" s="66" t="s">
        <v>10</v>
      </c>
      <c r="G313" s="67">
        <f t="shared" ref="G313:M313" si="84">SUM(G309:G312)</f>
        <v>20463.86</v>
      </c>
      <c r="H313" s="67">
        <f t="shared" si="84"/>
        <v>19705.309999999998</v>
      </c>
      <c r="I313" s="67">
        <f t="shared" si="84"/>
        <v>8000</v>
      </c>
      <c r="J313" s="67">
        <f t="shared" si="84"/>
        <v>8190.96</v>
      </c>
      <c r="K313" s="67">
        <f t="shared" si="84"/>
        <v>7309</v>
      </c>
      <c r="L313" s="67">
        <f t="shared" si="84"/>
        <v>7309</v>
      </c>
      <c r="M313" s="67">
        <f t="shared" si="84"/>
        <v>7309</v>
      </c>
    </row>
    <row r="315" spans="1:13" x14ac:dyDescent="0.25">
      <c r="D315" s="78" t="s">
        <v>194</v>
      </c>
      <c r="E315" s="78"/>
      <c r="F315" s="78"/>
      <c r="G315" s="78"/>
      <c r="H315" s="78"/>
      <c r="I315" s="78"/>
      <c r="J315" s="78"/>
      <c r="K315" s="78"/>
      <c r="L315" s="78"/>
      <c r="M315" s="78"/>
    </row>
    <row r="316" spans="1:13" x14ac:dyDescent="0.25">
      <c r="D316" s="63" t="s">
        <v>20</v>
      </c>
      <c r="E316" s="63" t="s">
        <v>21</v>
      </c>
      <c r="F316" s="63" t="s">
        <v>22</v>
      </c>
      <c r="G316" s="63" t="s">
        <v>1</v>
      </c>
      <c r="H316" s="63" t="s">
        <v>2</v>
      </c>
      <c r="I316" s="63" t="s">
        <v>3</v>
      </c>
      <c r="J316" s="63" t="s">
        <v>4</v>
      </c>
      <c r="K316" s="63" t="s">
        <v>5</v>
      </c>
      <c r="L316" s="63" t="s">
        <v>6</v>
      </c>
      <c r="M316" s="63" t="s">
        <v>7</v>
      </c>
    </row>
    <row r="317" spans="1:13" x14ac:dyDescent="0.25">
      <c r="A317" s="59">
        <v>6</v>
      </c>
      <c r="B317" s="59">
        <v>1</v>
      </c>
      <c r="C317" s="59">
        <v>2</v>
      </c>
      <c r="D317" s="79" t="s">
        <v>193</v>
      </c>
      <c r="E317" s="64">
        <v>640</v>
      </c>
      <c r="F317" s="64" t="s">
        <v>108</v>
      </c>
      <c r="G317" s="65">
        <v>2867.9</v>
      </c>
      <c r="H317" s="65">
        <v>3458.98</v>
      </c>
      <c r="I317" s="65">
        <v>3000</v>
      </c>
      <c r="J317" s="65">
        <v>2190</v>
      </c>
      <c r="K317" s="65">
        <v>1850</v>
      </c>
      <c r="L317" s="65">
        <v>3000</v>
      </c>
      <c r="M317" s="65">
        <f>L317</f>
        <v>3000</v>
      </c>
    </row>
    <row r="318" spans="1:13" x14ac:dyDescent="0.25">
      <c r="A318" s="59">
        <v>6</v>
      </c>
      <c r="B318" s="59">
        <v>1</v>
      </c>
      <c r="C318" s="59">
        <v>2</v>
      </c>
      <c r="D318" s="81" t="s">
        <v>8</v>
      </c>
      <c r="E318" s="66">
        <v>41</v>
      </c>
      <c r="F318" s="66" t="s">
        <v>10</v>
      </c>
      <c r="G318" s="67">
        <f t="shared" ref="G318:M318" si="85">SUM(G317:G317)</f>
        <v>2867.9</v>
      </c>
      <c r="H318" s="67">
        <f t="shared" si="85"/>
        <v>3458.98</v>
      </c>
      <c r="I318" s="67">
        <f t="shared" si="85"/>
        <v>3000</v>
      </c>
      <c r="J318" s="67">
        <f t="shared" si="85"/>
        <v>2190</v>
      </c>
      <c r="K318" s="67">
        <f t="shared" si="85"/>
        <v>1850</v>
      </c>
      <c r="L318" s="67">
        <f t="shared" si="85"/>
        <v>3000</v>
      </c>
      <c r="M318" s="67">
        <f t="shared" si="85"/>
        <v>3000</v>
      </c>
    </row>
    <row r="320" spans="1:13" x14ac:dyDescent="0.25">
      <c r="E320" s="90" t="s">
        <v>43</v>
      </c>
      <c r="F320" s="68" t="s">
        <v>195</v>
      </c>
      <c r="G320" s="91">
        <v>2059.9</v>
      </c>
      <c r="H320" s="91">
        <v>1558.98</v>
      </c>
      <c r="I320" s="91">
        <v>1100</v>
      </c>
      <c r="J320" s="91">
        <v>1100</v>
      </c>
      <c r="K320" s="91">
        <v>1000</v>
      </c>
      <c r="L320" s="91"/>
      <c r="M320" s="92"/>
    </row>
    <row r="321" spans="1:13" x14ac:dyDescent="0.25">
      <c r="E321" s="93"/>
      <c r="F321" s="106" t="s">
        <v>196</v>
      </c>
      <c r="G321" s="94">
        <v>808</v>
      </c>
      <c r="H321" s="94">
        <v>900</v>
      </c>
      <c r="I321" s="94">
        <v>450</v>
      </c>
      <c r="J321" s="94">
        <v>450</v>
      </c>
      <c r="K321" s="94">
        <v>850</v>
      </c>
      <c r="L321" s="94"/>
      <c r="M321" s="95"/>
    </row>
    <row r="322" spans="1:13" x14ac:dyDescent="0.25">
      <c r="E322" s="93"/>
      <c r="F322" s="106" t="s">
        <v>197</v>
      </c>
      <c r="G322" s="94"/>
      <c r="H322" s="94">
        <v>1000</v>
      </c>
      <c r="I322" s="94">
        <v>750</v>
      </c>
      <c r="J322" s="94">
        <v>640</v>
      </c>
      <c r="K322" s="94"/>
      <c r="L322" s="94"/>
      <c r="M322" s="95"/>
    </row>
    <row r="323" spans="1:13" x14ac:dyDescent="0.25">
      <c r="E323" s="98"/>
      <c r="F323" s="99" t="s">
        <v>198</v>
      </c>
      <c r="G323" s="100"/>
      <c r="H323" s="100"/>
      <c r="I323" s="100">
        <v>700</v>
      </c>
      <c r="J323" s="100"/>
      <c r="K323" s="100"/>
      <c r="L323" s="100">
        <v>3000</v>
      </c>
      <c r="M323" s="101">
        <v>3000</v>
      </c>
    </row>
    <row r="325" spans="1:13" x14ac:dyDescent="0.25">
      <c r="D325" s="76" t="s">
        <v>199</v>
      </c>
      <c r="E325" s="76"/>
      <c r="F325" s="76"/>
      <c r="G325" s="76"/>
      <c r="H325" s="76"/>
      <c r="I325" s="76"/>
      <c r="J325" s="76"/>
      <c r="K325" s="76"/>
      <c r="L325" s="76"/>
      <c r="M325" s="76"/>
    </row>
    <row r="326" spans="1:13" x14ac:dyDescent="0.25">
      <c r="D326" s="111"/>
      <c r="E326" s="111"/>
      <c r="F326" s="111"/>
      <c r="G326" s="63" t="s">
        <v>1</v>
      </c>
      <c r="H326" s="63" t="s">
        <v>2</v>
      </c>
      <c r="I326" s="63" t="s">
        <v>3</v>
      </c>
      <c r="J326" s="63" t="s">
        <v>4</v>
      </c>
      <c r="K326" s="63" t="s">
        <v>5</v>
      </c>
      <c r="L326" s="63" t="s">
        <v>6</v>
      </c>
      <c r="M326" s="63" t="s">
        <v>7</v>
      </c>
    </row>
    <row r="327" spans="1:13" x14ac:dyDescent="0.25">
      <c r="A327" s="59">
        <v>6</v>
      </c>
      <c r="B327" s="59">
        <v>2</v>
      </c>
      <c r="D327" s="114" t="s">
        <v>8</v>
      </c>
      <c r="E327" s="115">
        <v>41</v>
      </c>
      <c r="F327" s="115" t="s">
        <v>10</v>
      </c>
      <c r="G327" s="65">
        <f t="shared" ref="G327:M327" si="86">G334+G345+G357</f>
        <v>37144</v>
      </c>
      <c r="H327" s="65">
        <f t="shared" si="86"/>
        <v>16390.239999999998</v>
      </c>
      <c r="I327" s="65">
        <f t="shared" si="86"/>
        <v>24500</v>
      </c>
      <c r="J327" s="65">
        <f t="shared" si="86"/>
        <v>15189.140000000001</v>
      </c>
      <c r="K327" s="65">
        <f t="shared" si="86"/>
        <v>26856</v>
      </c>
      <c r="L327" s="65">
        <f t="shared" si="86"/>
        <v>14856</v>
      </c>
      <c r="M327" s="65">
        <f t="shared" si="86"/>
        <v>14856</v>
      </c>
    </row>
    <row r="328" spans="1:13" x14ac:dyDescent="0.25">
      <c r="A328" s="59">
        <v>6</v>
      </c>
      <c r="B328" s="59">
        <v>2</v>
      </c>
      <c r="D328" s="68"/>
      <c r="E328" s="69"/>
      <c r="F328" s="66" t="s">
        <v>18</v>
      </c>
      <c r="G328" s="67">
        <f t="shared" ref="G328:M328" si="87">SUM(G327:G327)</f>
        <v>37144</v>
      </c>
      <c r="H328" s="67">
        <f t="shared" si="87"/>
        <v>16390.239999999998</v>
      </c>
      <c r="I328" s="67">
        <f t="shared" si="87"/>
        <v>24500</v>
      </c>
      <c r="J328" s="67">
        <f t="shared" si="87"/>
        <v>15189.140000000001</v>
      </c>
      <c r="K328" s="67">
        <f t="shared" si="87"/>
        <v>26856</v>
      </c>
      <c r="L328" s="67">
        <f t="shared" si="87"/>
        <v>14856</v>
      </c>
      <c r="M328" s="67">
        <f t="shared" si="87"/>
        <v>14856</v>
      </c>
    </row>
    <row r="330" spans="1:13" x14ac:dyDescent="0.25">
      <c r="D330" s="78" t="s">
        <v>200</v>
      </c>
      <c r="E330" s="78"/>
      <c r="F330" s="78"/>
      <c r="G330" s="78"/>
      <c r="H330" s="78"/>
      <c r="I330" s="78"/>
      <c r="J330" s="78"/>
      <c r="K330" s="78"/>
      <c r="L330" s="78"/>
      <c r="M330" s="78"/>
    </row>
    <row r="331" spans="1:13" x14ac:dyDescent="0.25">
      <c r="D331" s="63" t="s">
        <v>20</v>
      </c>
      <c r="E331" s="63" t="s">
        <v>21</v>
      </c>
      <c r="F331" s="63" t="s">
        <v>22</v>
      </c>
      <c r="G331" s="63" t="s">
        <v>1</v>
      </c>
      <c r="H331" s="63" t="s">
        <v>2</v>
      </c>
      <c r="I331" s="63" t="s">
        <v>3</v>
      </c>
      <c r="J331" s="63" t="s">
        <v>4</v>
      </c>
      <c r="K331" s="63" t="s">
        <v>5</v>
      </c>
      <c r="L331" s="63" t="s">
        <v>6</v>
      </c>
      <c r="M331" s="63" t="s">
        <v>7</v>
      </c>
    </row>
    <row r="332" spans="1:13" x14ac:dyDescent="0.25">
      <c r="A332" s="59">
        <v>6</v>
      </c>
      <c r="B332" s="59">
        <v>2</v>
      </c>
      <c r="C332" s="59">
        <v>1</v>
      </c>
      <c r="D332" s="3" t="s">
        <v>201</v>
      </c>
      <c r="E332" s="64">
        <v>620</v>
      </c>
      <c r="F332" s="64" t="s">
        <v>106</v>
      </c>
      <c r="G332" s="65">
        <v>896.55</v>
      </c>
      <c r="H332" s="65">
        <v>600.88</v>
      </c>
      <c r="I332" s="65">
        <v>452</v>
      </c>
      <c r="J332" s="65">
        <v>452.64</v>
      </c>
      <c r="K332" s="65">
        <v>316</v>
      </c>
      <c r="L332" s="65">
        <f>K332</f>
        <v>316</v>
      </c>
      <c r="M332" s="65">
        <f>L332</f>
        <v>316</v>
      </c>
    </row>
    <row r="333" spans="1:13" x14ac:dyDescent="0.25">
      <c r="A333" s="59">
        <v>6</v>
      </c>
      <c r="B333" s="59">
        <v>2</v>
      </c>
      <c r="C333" s="59">
        <v>1</v>
      </c>
      <c r="D333" s="3"/>
      <c r="E333" s="64">
        <v>630</v>
      </c>
      <c r="F333" s="64" t="s">
        <v>107</v>
      </c>
      <c r="G333" s="65">
        <v>11438.25</v>
      </c>
      <c r="H333" s="65">
        <v>8012.75</v>
      </c>
      <c r="I333" s="65">
        <v>7848</v>
      </c>
      <c r="J333" s="65">
        <v>5628.05</v>
      </c>
      <c r="K333" s="80">
        <f>5040-1099-1</f>
        <v>3940</v>
      </c>
      <c r="L333" s="65">
        <f>K333</f>
        <v>3940</v>
      </c>
      <c r="M333" s="65">
        <f>L333</f>
        <v>3940</v>
      </c>
    </row>
    <row r="334" spans="1:13" x14ac:dyDescent="0.25">
      <c r="A334" s="59">
        <v>6</v>
      </c>
      <c r="B334" s="59">
        <v>2</v>
      </c>
      <c r="C334" s="59">
        <v>1</v>
      </c>
      <c r="D334" s="81" t="s">
        <v>8</v>
      </c>
      <c r="E334" s="66">
        <v>41</v>
      </c>
      <c r="F334" s="66" t="s">
        <v>10</v>
      </c>
      <c r="G334" s="67">
        <f t="shared" ref="G334:M334" si="88">SUM(G332:G333)</f>
        <v>12334.8</v>
      </c>
      <c r="H334" s="67">
        <f t="shared" si="88"/>
        <v>8613.6299999999992</v>
      </c>
      <c r="I334" s="67">
        <f t="shared" si="88"/>
        <v>8300</v>
      </c>
      <c r="J334" s="67">
        <f t="shared" si="88"/>
        <v>6080.6900000000005</v>
      </c>
      <c r="K334" s="67">
        <f t="shared" si="88"/>
        <v>4256</v>
      </c>
      <c r="L334" s="67">
        <f t="shared" si="88"/>
        <v>4256</v>
      </c>
      <c r="M334" s="67">
        <f t="shared" si="88"/>
        <v>4256</v>
      </c>
    </row>
    <row r="336" spans="1:13" x14ac:dyDescent="0.25">
      <c r="E336" s="90" t="s">
        <v>43</v>
      </c>
      <c r="F336" s="68" t="s">
        <v>123</v>
      </c>
      <c r="G336" s="91">
        <v>1818.85</v>
      </c>
      <c r="H336" s="91">
        <v>1210</v>
      </c>
      <c r="I336" s="91">
        <v>1200</v>
      </c>
      <c r="J336" s="91">
        <v>869</v>
      </c>
      <c r="K336" s="91">
        <v>869</v>
      </c>
      <c r="L336" s="91">
        <f t="shared" ref="L336:M338" si="89">K336</f>
        <v>869</v>
      </c>
      <c r="M336" s="92">
        <f t="shared" si="89"/>
        <v>869</v>
      </c>
    </row>
    <row r="337" spans="1:13" x14ac:dyDescent="0.25">
      <c r="E337" s="93"/>
      <c r="F337" s="106" t="s">
        <v>124</v>
      </c>
      <c r="G337" s="94">
        <v>2280.16</v>
      </c>
      <c r="H337" s="94">
        <v>2932</v>
      </c>
      <c r="I337" s="94">
        <v>2900</v>
      </c>
      <c r="J337" s="94">
        <v>2268</v>
      </c>
      <c r="K337" s="94">
        <v>1771</v>
      </c>
      <c r="L337" s="94">
        <f t="shared" si="89"/>
        <v>1771</v>
      </c>
      <c r="M337" s="95">
        <f t="shared" si="89"/>
        <v>1771</v>
      </c>
    </row>
    <row r="338" spans="1:13" x14ac:dyDescent="0.25">
      <c r="E338" s="98"/>
      <c r="F338" s="99" t="s">
        <v>202</v>
      </c>
      <c r="G338" s="100">
        <v>5482.55</v>
      </c>
      <c r="H338" s="100">
        <v>3170.88</v>
      </c>
      <c r="I338" s="100">
        <v>2316</v>
      </c>
      <c r="J338" s="100">
        <v>2316</v>
      </c>
      <c r="K338" s="100">
        <v>1612</v>
      </c>
      <c r="L338" s="100">
        <f t="shared" si="89"/>
        <v>1612</v>
      </c>
      <c r="M338" s="101">
        <f t="shared" si="89"/>
        <v>1612</v>
      </c>
    </row>
    <row r="340" spans="1:13" x14ac:dyDescent="0.25">
      <c r="D340" s="78" t="s">
        <v>203</v>
      </c>
      <c r="E340" s="78"/>
      <c r="F340" s="78"/>
      <c r="G340" s="78"/>
      <c r="H340" s="78"/>
      <c r="I340" s="78"/>
      <c r="J340" s="78"/>
      <c r="K340" s="78"/>
      <c r="L340" s="78"/>
      <c r="M340" s="78"/>
    </row>
    <row r="341" spans="1:13" x14ac:dyDescent="0.25">
      <c r="D341" s="63" t="s">
        <v>20</v>
      </c>
      <c r="E341" s="63" t="s">
        <v>21</v>
      </c>
      <c r="F341" s="63" t="s">
        <v>22</v>
      </c>
      <c r="G341" s="63" t="s">
        <v>1</v>
      </c>
      <c r="H341" s="63" t="s">
        <v>2</v>
      </c>
      <c r="I341" s="63" t="s">
        <v>3</v>
      </c>
      <c r="J341" s="63" t="s">
        <v>4</v>
      </c>
      <c r="K341" s="63" t="s">
        <v>5</v>
      </c>
      <c r="L341" s="63" t="s">
        <v>6</v>
      </c>
      <c r="M341" s="63" t="s">
        <v>7</v>
      </c>
    </row>
    <row r="342" spans="1:13" x14ac:dyDescent="0.25">
      <c r="A342" s="59">
        <v>6</v>
      </c>
      <c r="B342" s="59">
        <v>2</v>
      </c>
      <c r="C342" s="59">
        <v>2</v>
      </c>
      <c r="D342" s="3" t="s">
        <v>201</v>
      </c>
      <c r="E342" s="64">
        <v>620</v>
      </c>
      <c r="F342" s="64" t="s">
        <v>106</v>
      </c>
      <c r="G342" s="65">
        <v>274.58999999999997</v>
      </c>
      <c r="H342" s="65">
        <v>201.09</v>
      </c>
      <c r="I342" s="65">
        <v>0</v>
      </c>
      <c r="J342" s="65">
        <v>143.57</v>
      </c>
      <c r="K342" s="65">
        <v>0</v>
      </c>
      <c r="L342" s="65">
        <f>K342</f>
        <v>0</v>
      </c>
      <c r="M342" s="65">
        <f>L342</f>
        <v>0</v>
      </c>
    </row>
    <row r="343" spans="1:13" x14ac:dyDescent="0.25">
      <c r="A343" s="59">
        <v>6</v>
      </c>
      <c r="B343" s="59">
        <v>2</v>
      </c>
      <c r="C343" s="59">
        <v>2</v>
      </c>
      <c r="D343" s="3"/>
      <c r="E343" s="64">
        <v>630</v>
      </c>
      <c r="F343" s="64" t="s">
        <v>107</v>
      </c>
      <c r="G343" s="65">
        <v>20349.11</v>
      </c>
      <c r="H343" s="65">
        <v>4058.5</v>
      </c>
      <c r="I343" s="65">
        <v>6500</v>
      </c>
      <c r="J343" s="65">
        <v>4368.38</v>
      </c>
      <c r="K343" s="65">
        <v>14000</v>
      </c>
      <c r="L343" s="65">
        <v>3000</v>
      </c>
      <c r="M343" s="65">
        <f>L343</f>
        <v>3000</v>
      </c>
    </row>
    <row r="344" spans="1:13" x14ac:dyDescent="0.25">
      <c r="A344" s="59">
        <v>6</v>
      </c>
      <c r="B344" s="59">
        <v>2</v>
      </c>
      <c r="C344" s="59">
        <v>2</v>
      </c>
      <c r="D344" s="3"/>
      <c r="E344" s="64">
        <v>640</v>
      </c>
      <c r="F344" s="64" t="s">
        <v>108</v>
      </c>
      <c r="G344" s="65">
        <v>2970</v>
      </c>
      <c r="H344" s="65">
        <v>2500</v>
      </c>
      <c r="I344" s="65">
        <v>8500</v>
      </c>
      <c r="J344" s="65">
        <v>4000</v>
      </c>
      <c r="K344" s="65">
        <v>8000</v>
      </c>
      <c r="L344" s="65">
        <v>7000</v>
      </c>
      <c r="M344" s="65">
        <f>L344</f>
        <v>7000</v>
      </c>
    </row>
    <row r="345" spans="1:13" x14ac:dyDescent="0.25">
      <c r="A345" s="59">
        <v>6</v>
      </c>
      <c r="B345" s="59">
        <v>2</v>
      </c>
      <c r="C345" s="59">
        <v>2</v>
      </c>
      <c r="D345" s="81" t="s">
        <v>8</v>
      </c>
      <c r="E345" s="66">
        <v>41</v>
      </c>
      <c r="F345" s="66" t="s">
        <v>10</v>
      </c>
      <c r="G345" s="67">
        <f t="shared" ref="G345:M345" si="90">SUM(G342:G344)</f>
        <v>23593.7</v>
      </c>
      <c r="H345" s="67">
        <f t="shared" si="90"/>
        <v>6759.59</v>
      </c>
      <c r="I345" s="67">
        <f t="shared" si="90"/>
        <v>15000</v>
      </c>
      <c r="J345" s="67">
        <f t="shared" si="90"/>
        <v>8511.9500000000007</v>
      </c>
      <c r="K345" s="67">
        <f t="shared" si="90"/>
        <v>22000</v>
      </c>
      <c r="L345" s="67">
        <f t="shared" si="90"/>
        <v>10000</v>
      </c>
      <c r="M345" s="67">
        <f t="shared" si="90"/>
        <v>10000</v>
      </c>
    </row>
    <row r="347" spans="1:13" x14ac:dyDescent="0.25">
      <c r="E347" s="90" t="s">
        <v>43</v>
      </c>
      <c r="F347" s="68" t="s">
        <v>204</v>
      </c>
      <c r="G347" s="91">
        <v>5616.33</v>
      </c>
      <c r="H347" s="91">
        <v>2500</v>
      </c>
      <c r="I347" s="91"/>
      <c r="J347" s="91"/>
      <c r="K347" s="91">
        <v>4000</v>
      </c>
      <c r="L347" s="91"/>
      <c r="M347" s="92"/>
    </row>
    <row r="348" spans="1:13" x14ac:dyDescent="0.25">
      <c r="E348" s="93"/>
      <c r="F348" s="59" t="s">
        <v>205</v>
      </c>
      <c r="G348" s="94">
        <v>7798.66</v>
      </c>
      <c r="H348" s="116"/>
      <c r="I348" s="94"/>
      <c r="J348" s="94">
        <v>4000</v>
      </c>
      <c r="K348" s="94">
        <v>4000</v>
      </c>
      <c r="L348" s="94"/>
      <c r="M348" s="95"/>
    </row>
    <row r="349" spans="1:13" x14ac:dyDescent="0.25">
      <c r="E349" s="93"/>
      <c r="F349" s="59" t="s">
        <v>206</v>
      </c>
      <c r="G349" s="94"/>
      <c r="H349" s="116"/>
      <c r="I349" s="94"/>
      <c r="J349" s="94"/>
      <c r="K349" s="94">
        <v>10000</v>
      </c>
      <c r="L349" s="94"/>
      <c r="M349" s="95"/>
    </row>
    <row r="350" spans="1:13" x14ac:dyDescent="0.25">
      <c r="E350" s="93"/>
      <c r="F350" s="59" t="s">
        <v>207</v>
      </c>
      <c r="G350" s="116">
        <v>4173.74</v>
      </c>
      <c r="H350" s="116">
        <v>3408</v>
      </c>
      <c r="I350" s="116">
        <v>6500</v>
      </c>
      <c r="J350" s="116">
        <v>4511.95</v>
      </c>
      <c r="K350" s="116">
        <f>3000+1000</f>
        <v>4000</v>
      </c>
      <c r="L350" s="116"/>
      <c r="M350" s="95"/>
    </row>
    <row r="351" spans="1:13" x14ac:dyDescent="0.25">
      <c r="E351" s="93"/>
      <c r="F351" s="106" t="s">
        <v>208</v>
      </c>
      <c r="G351" s="116">
        <v>4620.26</v>
      </c>
      <c r="H351" s="94"/>
      <c r="I351" s="94"/>
      <c r="J351" s="94"/>
      <c r="K351" s="94"/>
      <c r="L351" s="94"/>
      <c r="M351" s="95"/>
    </row>
    <row r="352" spans="1:13" x14ac:dyDescent="0.25">
      <c r="E352" s="98"/>
      <c r="F352" s="99" t="s">
        <v>198</v>
      </c>
      <c r="G352" s="100"/>
      <c r="H352" s="100"/>
      <c r="I352" s="100">
        <v>8500</v>
      </c>
      <c r="J352" s="100"/>
      <c r="K352" s="100"/>
      <c r="L352" s="100">
        <v>10000</v>
      </c>
      <c r="M352" s="101">
        <v>10000</v>
      </c>
    </row>
    <row r="354" spans="1:13" x14ac:dyDescent="0.25">
      <c r="D354" s="78" t="s">
        <v>209</v>
      </c>
      <c r="E354" s="78"/>
      <c r="F354" s="78"/>
      <c r="G354" s="78"/>
      <c r="H354" s="78"/>
      <c r="I354" s="78"/>
      <c r="J354" s="78"/>
      <c r="K354" s="78"/>
      <c r="L354" s="78"/>
      <c r="M354" s="78"/>
    </row>
    <row r="355" spans="1:13" x14ac:dyDescent="0.25">
      <c r="D355" s="63" t="s">
        <v>20</v>
      </c>
      <c r="E355" s="63" t="s">
        <v>21</v>
      </c>
      <c r="F355" s="63" t="s">
        <v>22</v>
      </c>
      <c r="G355" s="63" t="s">
        <v>1</v>
      </c>
      <c r="H355" s="63" t="s">
        <v>2</v>
      </c>
      <c r="I355" s="63" t="s">
        <v>3</v>
      </c>
      <c r="J355" s="63" t="s">
        <v>4</v>
      </c>
      <c r="K355" s="63" t="s">
        <v>5</v>
      </c>
      <c r="L355" s="63" t="s">
        <v>6</v>
      </c>
      <c r="M355" s="63" t="s">
        <v>7</v>
      </c>
    </row>
    <row r="356" spans="1:13" x14ac:dyDescent="0.25">
      <c r="A356" s="59">
        <v>6</v>
      </c>
      <c r="B356" s="59">
        <v>2</v>
      </c>
      <c r="C356" s="59">
        <v>3</v>
      </c>
      <c r="D356" s="79" t="s">
        <v>201</v>
      </c>
      <c r="E356" s="64">
        <v>630</v>
      </c>
      <c r="F356" s="64" t="s">
        <v>107</v>
      </c>
      <c r="G356" s="65">
        <v>1215.5</v>
      </c>
      <c r="H356" s="65">
        <v>1017.02</v>
      </c>
      <c r="I356" s="65">
        <v>1200</v>
      </c>
      <c r="J356" s="65">
        <v>596.5</v>
      </c>
      <c r="K356" s="65">
        <v>600</v>
      </c>
      <c r="L356" s="65">
        <f>K356</f>
        <v>600</v>
      </c>
      <c r="M356" s="65">
        <f>L356</f>
        <v>600</v>
      </c>
    </row>
    <row r="357" spans="1:13" x14ac:dyDescent="0.25">
      <c r="A357" s="59">
        <v>6</v>
      </c>
      <c r="B357" s="59">
        <v>2</v>
      </c>
      <c r="C357" s="59">
        <v>3</v>
      </c>
      <c r="D357" s="81" t="s">
        <v>8</v>
      </c>
      <c r="E357" s="66">
        <v>41</v>
      </c>
      <c r="F357" s="66" t="s">
        <v>10</v>
      </c>
      <c r="G357" s="67">
        <f t="shared" ref="G357:M357" si="91">SUM(G356:G356)</f>
        <v>1215.5</v>
      </c>
      <c r="H357" s="67">
        <f t="shared" si="91"/>
        <v>1017.02</v>
      </c>
      <c r="I357" s="67">
        <f t="shared" si="91"/>
        <v>1200</v>
      </c>
      <c r="J357" s="67">
        <f t="shared" si="91"/>
        <v>596.5</v>
      </c>
      <c r="K357" s="67">
        <f t="shared" si="91"/>
        <v>600</v>
      </c>
      <c r="L357" s="67">
        <f t="shared" si="91"/>
        <v>600</v>
      </c>
      <c r="M357" s="67">
        <f t="shared" si="91"/>
        <v>600</v>
      </c>
    </row>
    <row r="359" spans="1:13" x14ac:dyDescent="0.25">
      <c r="D359" s="76" t="s">
        <v>210</v>
      </c>
      <c r="E359" s="76"/>
      <c r="F359" s="76"/>
      <c r="G359" s="76"/>
      <c r="H359" s="76"/>
      <c r="I359" s="76"/>
      <c r="J359" s="76"/>
      <c r="K359" s="76"/>
      <c r="L359" s="76"/>
      <c r="M359" s="76"/>
    </row>
    <row r="360" spans="1:13" x14ac:dyDescent="0.25">
      <c r="D360" s="63"/>
      <c r="E360" s="63"/>
      <c r="F360" s="63"/>
      <c r="G360" s="63" t="s">
        <v>1</v>
      </c>
      <c r="H360" s="63" t="s">
        <v>2</v>
      </c>
      <c r="I360" s="63" t="s">
        <v>3</v>
      </c>
      <c r="J360" s="63" t="s">
        <v>4</v>
      </c>
      <c r="K360" s="63" t="s">
        <v>5</v>
      </c>
      <c r="L360" s="63" t="s">
        <v>6</v>
      </c>
      <c r="M360" s="63" t="s">
        <v>7</v>
      </c>
    </row>
    <row r="361" spans="1:13" x14ac:dyDescent="0.25">
      <c r="A361" s="59">
        <v>6</v>
      </c>
      <c r="B361" s="59">
        <v>3</v>
      </c>
      <c r="D361" s="77" t="s">
        <v>8</v>
      </c>
      <c r="E361" s="64">
        <v>41</v>
      </c>
      <c r="F361" s="64" t="s">
        <v>10</v>
      </c>
      <c r="G361" s="65">
        <f t="shared" ref="G361:M361" si="92">G368+G375</f>
        <v>8564.7200000000012</v>
      </c>
      <c r="H361" s="65">
        <f t="shared" si="92"/>
        <v>10483.939999999999</v>
      </c>
      <c r="I361" s="65">
        <f t="shared" si="92"/>
        <v>8900</v>
      </c>
      <c r="J361" s="65">
        <f t="shared" si="92"/>
        <v>8833.43</v>
      </c>
      <c r="K361" s="65">
        <f t="shared" si="92"/>
        <v>10575</v>
      </c>
      <c r="L361" s="65">
        <f t="shared" si="92"/>
        <v>9565</v>
      </c>
      <c r="M361" s="65">
        <f t="shared" si="92"/>
        <v>9565</v>
      </c>
    </row>
    <row r="362" spans="1:13" x14ac:dyDescent="0.25">
      <c r="D362" s="68"/>
      <c r="E362" s="69"/>
      <c r="F362" s="66" t="s">
        <v>18</v>
      </c>
      <c r="G362" s="67">
        <f t="shared" ref="G362:M362" si="93">SUM(G361:G361)</f>
        <v>8564.7200000000012</v>
      </c>
      <c r="H362" s="67">
        <f t="shared" si="93"/>
        <v>10483.939999999999</v>
      </c>
      <c r="I362" s="67">
        <f t="shared" si="93"/>
        <v>8900</v>
      </c>
      <c r="J362" s="67">
        <f t="shared" si="93"/>
        <v>8833.43</v>
      </c>
      <c r="K362" s="67">
        <f t="shared" si="93"/>
        <v>10575</v>
      </c>
      <c r="L362" s="67">
        <f t="shared" si="93"/>
        <v>9565</v>
      </c>
      <c r="M362" s="67">
        <f t="shared" si="93"/>
        <v>9565</v>
      </c>
    </row>
    <row r="364" spans="1:13" x14ac:dyDescent="0.25">
      <c r="D364" s="78" t="s">
        <v>211</v>
      </c>
      <c r="E364" s="78"/>
      <c r="F364" s="78"/>
      <c r="G364" s="78"/>
      <c r="H364" s="78"/>
      <c r="I364" s="78"/>
      <c r="J364" s="78"/>
      <c r="K364" s="78"/>
      <c r="L364" s="78"/>
      <c r="M364" s="78"/>
    </row>
    <row r="365" spans="1:13" x14ac:dyDescent="0.25">
      <c r="D365" s="63" t="s">
        <v>20</v>
      </c>
      <c r="E365" s="63" t="s">
        <v>21</v>
      </c>
      <c r="F365" s="63" t="s">
        <v>22</v>
      </c>
      <c r="G365" s="63" t="s">
        <v>1</v>
      </c>
      <c r="H365" s="63" t="s">
        <v>2</v>
      </c>
      <c r="I365" s="63" t="s">
        <v>3</v>
      </c>
      <c r="J365" s="63" t="s">
        <v>4</v>
      </c>
      <c r="K365" s="63" t="s">
        <v>5</v>
      </c>
      <c r="L365" s="63" t="s">
        <v>6</v>
      </c>
      <c r="M365" s="63" t="s">
        <v>7</v>
      </c>
    </row>
    <row r="366" spans="1:13" x14ac:dyDescent="0.25">
      <c r="A366" s="59">
        <v>6</v>
      </c>
      <c r="B366" s="59">
        <v>3</v>
      </c>
      <c r="C366" s="59">
        <v>1</v>
      </c>
      <c r="D366" s="3" t="s">
        <v>212</v>
      </c>
      <c r="E366" s="64">
        <v>630</v>
      </c>
      <c r="F366" s="64" t="s">
        <v>107</v>
      </c>
      <c r="G366" s="65">
        <v>164.72</v>
      </c>
      <c r="H366" s="65">
        <v>7483.94</v>
      </c>
      <c r="I366" s="65">
        <v>5400</v>
      </c>
      <c r="J366" s="65">
        <v>5564.72</v>
      </c>
      <c r="K366" s="65">
        <f>5565+610</f>
        <v>6175</v>
      </c>
      <c r="L366" s="65">
        <v>5565</v>
      </c>
      <c r="M366" s="65">
        <f>L366</f>
        <v>5565</v>
      </c>
    </row>
    <row r="367" spans="1:13" x14ac:dyDescent="0.25">
      <c r="A367" s="59">
        <v>6</v>
      </c>
      <c r="B367" s="59">
        <v>3</v>
      </c>
      <c r="C367" s="59">
        <v>1</v>
      </c>
      <c r="D367" s="3"/>
      <c r="E367" s="64">
        <v>640</v>
      </c>
      <c r="F367" s="64" t="s">
        <v>108</v>
      </c>
      <c r="G367" s="65">
        <v>5400</v>
      </c>
      <c r="H367" s="65">
        <v>0</v>
      </c>
      <c r="I367" s="65">
        <v>0</v>
      </c>
      <c r="J367" s="65">
        <v>0</v>
      </c>
      <c r="K367" s="65">
        <v>0</v>
      </c>
      <c r="L367" s="65">
        <f>K367</f>
        <v>0</v>
      </c>
      <c r="M367" s="65">
        <f>L367</f>
        <v>0</v>
      </c>
    </row>
    <row r="368" spans="1:13" x14ac:dyDescent="0.25">
      <c r="A368" s="59">
        <v>6</v>
      </c>
      <c r="B368" s="59">
        <v>3</v>
      </c>
      <c r="C368" s="59">
        <v>1</v>
      </c>
      <c r="D368" s="81" t="s">
        <v>8</v>
      </c>
      <c r="E368" s="66">
        <v>41</v>
      </c>
      <c r="F368" s="66" t="s">
        <v>10</v>
      </c>
      <c r="G368" s="67">
        <f t="shared" ref="G368:M368" si="94">SUM(G366:G367)</f>
        <v>5564.72</v>
      </c>
      <c r="H368" s="67">
        <f t="shared" si="94"/>
        <v>7483.94</v>
      </c>
      <c r="I368" s="67">
        <f t="shared" si="94"/>
        <v>5400</v>
      </c>
      <c r="J368" s="67">
        <f t="shared" si="94"/>
        <v>5564.72</v>
      </c>
      <c r="K368" s="67">
        <f t="shared" si="94"/>
        <v>6175</v>
      </c>
      <c r="L368" s="67">
        <f t="shared" si="94"/>
        <v>5565</v>
      </c>
      <c r="M368" s="67">
        <f t="shared" si="94"/>
        <v>5565</v>
      </c>
    </row>
    <row r="370" spans="1:13" x14ac:dyDescent="0.25">
      <c r="E370" s="85" t="s">
        <v>43</v>
      </c>
      <c r="F370" s="86" t="s">
        <v>213</v>
      </c>
      <c r="G370" s="87">
        <v>5400</v>
      </c>
      <c r="H370" s="87">
        <v>5400</v>
      </c>
      <c r="I370" s="87">
        <v>5400</v>
      </c>
      <c r="J370" s="87">
        <v>5400</v>
      </c>
      <c r="K370" s="87">
        <v>5400</v>
      </c>
      <c r="L370" s="87">
        <v>5400</v>
      </c>
      <c r="M370" s="88">
        <v>5400</v>
      </c>
    </row>
    <row r="372" spans="1:13" x14ac:dyDescent="0.25">
      <c r="D372" s="78" t="s">
        <v>214</v>
      </c>
      <c r="E372" s="78"/>
      <c r="F372" s="78"/>
      <c r="G372" s="78"/>
      <c r="H372" s="78"/>
      <c r="I372" s="78"/>
      <c r="J372" s="78"/>
      <c r="K372" s="78"/>
      <c r="L372" s="78"/>
      <c r="M372" s="78"/>
    </row>
    <row r="373" spans="1:13" x14ac:dyDescent="0.25">
      <c r="D373" s="63" t="s">
        <v>20</v>
      </c>
      <c r="E373" s="63" t="s">
        <v>21</v>
      </c>
      <c r="F373" s="63" t="s">
        <v>22</v>
      </c>
      <c r="G373" s="63" t="s">
        <v>1</v>
      </c>
      <c r="H373" s="63" t="s">
        <v>2</v>
      </c>
      <c r="I373" s="63" t="s">
        <v>3</v>
      </c>
      <c r="J373" s="63" t="s">
        <v>4</v>
      </c>
      <c r="K373" s="63" t="s">
        <v>5</v>
      </c>
      <c r="L373" s="63" t="s">
        <v>6</v>
      </c>
      <c r="M373" s="63" t="s">
        <v>7</v>
      </c>
    </row>
    <row r="374" spans="1:13" x14ac:dyDescent="0.25">
      <c r="A374" s="59">
        <v>6</v>
      </c>
      <c r="B374" s="59">
        <v>3</v>
      </c>
      <c r="C374" s="59">
        <v>2</v>
      </c>
      <c r="D374" s="79" t="s">
        <v>212</v>
      </c>
      <c r="E374" s="64">
        <v>640</v>
      </c>
      <c r="F374" s="64" t="s">
        <v>108</v>
      </c>
      <c r="G374" s="65">
        <v>3000</v>
      </c>
      <c r="H374" s="65">
        <v>3000</v>
      </c>
      <c r="I374" s="65">
        <v>3500</v>
      </c>
      <c r="J374" s="65">
        <v>3268.71</v>
      </c>
      <c r="K374" s="65">
        <v>4400</v>
      </c>
      <c r="L374" s="65">
        <v>4000</v>
      </c>
      <c r="M374" s="65">
        <f>L374</f>
        <v>4000</v>
      </c>
    </row>
    <row r="375" spans="1:13" x14ac:dyDescent="0.25">
      <c r="A375" s="59">
        <v>6</v>
      </c>
      <c r="B375" s="59">
        <v>3</v>
      </c>
      <c r="C375" s="59">
        <v>2</v>
      </c>
      <c r="D375" s="81" t="s">
        <v>8</v>
      </c>
      <c r="E375" s="66">
        <v>41</v>
      </c>
      <c r="F375" s="66" t="s">
        <v>10</v>
      </c>
      <c r="G375" s="67">
        <f t="shared" ref="G375:M375" si="95">SUM(G374:G374)</f>
        <v>3000</v>
      </c>
      <c r="H375" s="67">
        <f t="shared" si="95"/>
        <v>3000</v>
      </c>
      <c r="I375" s="67">
        <f t="shared" si="95"/>
        <v>3500</v>
      </c>
      <c r="J375" s="67">
        <f t="shared" si="95"/>
        <v>3268.71</v>
      </c>
      <c r="K375" s="67">
        <f t="shared" si="95"/>
        <v>4400</v>
      </c>
      <c r="L375" s="67">
        <f t="shared" si="95"/>
        <v>4000</v>
      </c>
      <c r="M375" s="67">
        <f t="shared" si="95"/>
        <v>4000</v>
      </c>
    </row>
    <row r="377" spans="1:13" x14ac:dyDescent="0.25">
      <c r="E377" s="90" t="s">
        <v>43</v>
      </c>
      <c r="F377" s="68" t="s">
        <v>215</v>
      </c>
      <c r="G377" s="91">
        <v>1000</v>
      </c>
      <c r="H377" s="91">
        <v>1000</v>
      </c>
      <c r="I377" s="91">
        <v>500</v>
      </c>
      <c r="J377" s="91">
        <v>1100</v>
      </c>
      <c r="K377" s="91">
        <v>1100</v>
      </c>
      <c r="L377" s="91"/>
      <c r="M377" s="92"/>
    </row>
    <row r="378" spans="1:13" x14ac:dyDescent="0.25">
      <c r="E378" s="93"/>
      <c r="F378" s="59" t="s">
        <v>216</v>
      </c>
      <c r="G378" s="94">
        <v>1600</v>
      </c>
      <c r="H378" s="116">
        <v>2000</v>
      </c>
      <c r="I378" s="94">
        <v>2000</v>
      </c>
      <c r="J378" s="94">
        <v>1168.71</v>
      </c>
      <c r="K378" s="94">
        <v>1800</v>
      </c>
      <c r="L378" s="94"/>
      <c r="M378" s="95"/>
    </row>
    <row r="379" spans="1:13" x14ac:dyDescent="0.25">
      <c r="E379" s="93"/>
      <c r="F379" s="106" t="s">
        <v>217</v>
      </c>
      <c r="G379" s="94"/>
      <c r="H379" s="116"/>
      <c r="I379" s="94">
        <v>1000</v>
      </c>
      <c r="J379" s="94">
        <v>1000</v>
      </c>
      <c r="K379" s="94">
        <v>1000</v>
      </c>
      <c r="L379" s="94"/>
      <c r="M379" s="95"/>
    </row>
    <row r="380" spans="1:13" x14ac:dyDescent="0.25">
      <c r="E380" s="93"/>
      <c r="F380" s="106" t="s">
        <v>218</v>
      </c>
      <c r="G380" s="94"/>
      <c r="H380" s="116"/>
      <c r="I380" s="94"/>
      <c r="J380" s="94"/>
      <c r="K380" s="94">
        <v>500</v>
      </c>
      <c r="L380" s="94"/>
      <c r="M380" s="95"/>
    </row>
    <row r="381" spans="1:13" x14ac:dyDescent="0.25">
      <c r="E381" s="93"/>
      <c r="F381" s="106" t="s">
        <v>219</v>
      </c>
      <c r="G381" s="94">
        <v>1000</v>
      </c>
      <c r="H381" s="116"/>
      <c r="I381" s="94"/>
      <c r="J381" s="94"/>
      <c r="K381" s="94"/>
      <c r="L381" s="94"/>
      <c r="M381" s="95"/>
    </row>
    <row r="382" spans="1:13" x14ac:dyDescent="0.25">
      <c r="E382" s="98"/>
      <c r="F382" s="99" t="s">
        <v>198</v>
      </c>
      <c r="G382" s="117"/>
      <c r="H382" s="117"/>
      <c r="I382" s="117"/>
      <c r="J382" s="117"/>
      <c r="K382" s="117"/>
      <c r="L382" s="117">
        <v>4000</v>
      </c>
      <c r="M382" s="101">
        <v>4000</v>
      </c>
    </row>
    <row r="384" spans="1:13" x14ac:dyDescent="0.25">
      <c r="D384" s="70" t="s">
        <v>220</v>
      </c>
      <c r="E384" s="70"/>
      <c r="F384" s="70"/>
      <c r="G384" s="70"/>
      <c r="H384" s="70"/>
      <c r="I384" s="70"/>
      <c r="J384" s="70"/>
      <c r="K384" s="70"/>
      <c r="L384" s="70"/>
      <c r="M384" s="70"/>
    </row>
    <row r="385" spans="1:13" x14ac:dyDescent="0.25">
      <c r="D385" s="62"/>
      <c r="E385" s="62"/>
      <c r="F385" s="62"/>
      <c r="G385" s="63" t="s">
        <v>1</v>
      </c>
      <c r="H385" s="63" t="s">
        <v>2</v>
      </c>
      <c r="I385" s="63" t="s">
        <v>3</v>
      </c>
      <c r="J385" s="63" t="s">
        <v>4</v>
      </c>
      <c r="K385" s="63" t="s">
        <v>5</v>
      </c>
      <c r="L385" s="63" t="s">
        <v>6</v>
      </c>
      <c r="M385" s="63" t="s">
        <v>7</v>
      </c>
    </row>
    <row r="386" spans="1:13" x14ac:dyDescent="0.25">
      <c r="A386" s="59">
        <v>7</v>
      </c>
      <c r="D386" s="7" t="s">
        <v>8</v>
      </c>
      <c r="E386" s="72">
        <v>111</v>
      </c>
      <c r="F386" s="72" t="s">
        <v>89</v>
      </c>
      <c r="G386" s="73">
        <f t="shared" ref="G386:M386" si="96">G392+G426+G437</f>
        <v>61211.38</v>
      </c>
      <c r="H386" s="73">
        <f t="shared" si="96"/>
        <v>52248.660000000011</v>
      </c>
      <c r="I386" s="73">
        <f t="shared" si="96"/>
        <v>48968</v>
      </c>
      <c r="J386" s="73">
        <f t="shared" si="96"/>
        <v>39381.360000000001</v>
      </c>
      <c r="K386" s="73">
        <f t="shared" si="96"/>
        <v>39200</v>
      </c>
      <c r="L386" s="73">
        <f t="shared" si="96"/>
        <v>39200</v>
      </c>
      <c r="M386" s="73">
        <f t="shared" si="96"/>
        <v>39200</v>
      </c>
    </row>
    <row r="387" spans="1:13" x14ac:dyDescent="0.25">
      <c r="A387" s="59">
        <v>7</v>
      </c>
      <c r="D387" s="7"/>
      <c r="E387" s="72">
        <v>41</v>
      </c>
      <c r="F387" s="72" t="s">
        <v>10</v>
      </c>
      <c r="G387" s="73">
        <f t="shared" ref="G387:M387" si="97">G393+G429+G441</f>
        <v>70685.62</v>
      </c>
      <c r="H387" s="73">
        <f t="shared" si="97"/>
        <v>57484.89</v>
      </c>
      <c r="I387" s="73">
        <f t="shared" si="97"/>
        <v>53888</v>
      </c>
      <c r="J387" s="73">
        <f t="shared" si="97"/>
        <v>51935.6</v>
      </c>
      <c r="K387" s="73">
        <f t="shared" si="97"/>
        <v>56418</v>
      </c>
      <c r="L387" s="73">
        <f t="shared" si="97"/>
        <v>50850</v>
      </c>
      <c r="M387" s="73">
        <f t="shared" si="97"/>
        <v>51705</v>
      </c>
    </row>
    <row r="388" spans="1:13" x14ac:dyDescent="0.25">
      <c r="A388" s="59">
        <v>7</v>
      </c>
      <c r="D388" s="68"/>
      <c r="E388" s="69"/>
      <c r="F388" s="74" t="s">
        <v>18</v>
      </c>
      <c r="G388" s="75">
        <f t="shared" ref="G388:M388" si="98">SUM(G386:G387)</f>
        <v>131897</v>
      </c>
      <c r="H388" s="75">
        <f t="shared" si="98"/>
        <v>109733.55000000002</v>
      </c>
      <c r="I388" s="75">
        <f t="shared" si="98"/>
        <v>102856</v>
      </c>
      <c r="J388" s="75">
        <f t="shared" si="98"/>
        <v>91316.959999999992</v>
      </c>
      <c r="K388" s="75">
        <f t="shared" si="98"/>
        <v>95618</v>
      </c>
      <c r="L388" s="75">
        <f t="shared" si="98"/>
        <v>90050</v>
      </c>
      <c r="M388" s="75">
        <f t="shared" si="98"/>
        <v>90905</v>
      </c>
    </row>
    <row r="390" spans="1:13" x14ac:dyDescent="0.25">
      <c r="D390" s="76" t="s">
        <v>221</v>
      </c>
      <c r="E390" s="76"/>
      <c r="F390" s="76"/>
      <c r="G390" s="76"/>
      <c r="H390" s="76"/>
      <c r="I390" s="76"/>
      <c r="J390" s="76"/>
      <c r="K390" s="76"/>
      <c r="L390" s="76"/>
      <c r="M390" s="76"/>
    </row>
    <row r="391" spans="1:13" x14ac:dyDescent="0.25">
      <c r="D391" s="111"/>
      <c r="E391" s="111"/>
      <c r="F391" s="111"/>
      <c r="G391" s="63" t="s">
        <v>1</v>
      </c>
      <c r="H391" s="63" t="s">
        <v>2</v>
      </c>
      <c r="I391" s="63" t="s">
        <v>3</v>
      </c>
      <c r="J391" s="63" t="s">
        <v>4</v>
      </c>
      <c r="K391" s="63" t="s">
        <v>5</v>
      </c>
      <c r="L391" s="63" t="s">
        <v>6</v>
      </c>
      <c r="M391" s="63" t="s">
        <v>7</v>
      </c>
    </row>
    <row r="392" spans="1:13" x14ac:dyDescent="0.25">
      <c r="A392" s="59">
        <v>7</v>
      </c>
      <c r="B392" s="59">
        <v>1</v>
      </c>
      <c r="D392" s="5" t="s">
        <v>8</v>
      </c>
      <c r="E392" s="64">
        <v>111</v>
      </c>
      <c r="F392" s="64" t="s">
        <v>89</v>
      </c>
      <c r="G392" s="65">
        <f t="shared" ref="G392:M392" si="99">G401</f>
        <v>59591.02</v>
      </c>
      <c r="H392" s="65">
        <f t="shared" si="99"/>
        <v>50189.540000000008</v>
      </c>
      <c r="I392" s="65">
        <f t="shared" si="99"/>
        <v>38400</v>
      </c>
      <c r="J392" s="65">
        <f t="shared" si="99"/>
        <v>38347.4</v>
      </c>
      <c r="K392" s="65">
        <f t="shared" si="99"/>
        <v>38400</v>
      </c>
      <c r="L392" s="65">
        <f t="shared" si="99"/>
        <v>38400</v>
      </c>
      <c r="M392" s="65">
        <f t="shared" si="99"/>
        <v>38400</v>
      </c>
    </row>
    <row r="393" spans="1:13" x14ac:dyDescent="0.25">
      <c r="A393" s="59">
        <v>7</v>
      </c>
      <c r="B393" s="59">
        <v>1</v>
      </c>
      <c r="D393" s="5"/>
      <c r="E393" s="64">
        <v>41</v>
      </c>
      <c r="F393" s="64" t="s">
        <v>10</v>
      </c>
      <c r="G393" s="65">
        <f t="shared" ref="G393:M393" si="100">G406+G417</f>
        <v>54301.11</v>
      </c>
      <c r="H393" s="65">
        <f t="shared" si="100"/>
        <v>44149.55</v>
      </c>
      <c r="I393" s="65">
        <f t="shared" si="100"/>
        <v>49620</v>
      </c>
      <c r="J393" s="65">
        <f t="shared" si="100"/>
        <v>46980.06</v>
      </c>
      <c r="K393" s="65">
        <f t="shared" si="100"/>
        <v>53168</v>
      </c>
      <c r="L393" s="65">
        <f t="shared" si="100"/>
        <v>47600</v>
      </c>
      <c r="M393" s="65">
        <f t="shared" si="100"/>
        <v>48455</v>
      </c>
    </row>
    <row r="394" spans="1:13" x14ac:dyDescent="0.25">
      <c r="A394" s="59">
        <v>7</v>
      </c>
      <c r="B394" s="59">
        <v>1</v>
      </c>
      <c r="D394" s="68"/>
      <c r="E394" s="69"/>
      <c r="F394" s="66" t="s">
        <v>18</v>
      </c>
      <c r="G394" s="67">
        <f t="shared" ref="G394:M394" si="101">SUM(G392:G393)</f>
        <v>113892.13</v>
      </c>
      <c r="H394" s="67">
        <f t="shared" si="101"/>
        <v>94339.090000000011</v>
      </c>
      <c r="I394" s="67">
        <f t="shared" si="101"/>
        <v>88020</v>
      </c>
      <c r="J394" s="67">
        <f t="shared" si="101"/>
        <v>85327.459999999992</v>
      </c>
      <c r="K394" s="67">
        <f t="shared" si="101"/>
        <v>91568</v>
      </c>
      <c r="L394" s="67">
        <f t="shared" si="101"/>
        <v>86000</v>
      </c>
      <c r="M394" s="67">
        <f t="shared" si="101"/>
        <v>86855</v>
      </c>
    </row>
    <row r="396" spans="1:13" x14ac:dyDescent="0.25">
      <c r="D396" s="78" t="s">
        <v>222</v>
      </c>
      <c r="E396" s="78"/>
      <c r="F396" s="78"/>
      <c r="G396" s="78"/>
      <c r="H396" s="78"/>
      <c r="I396" s="78"/>
      <c r="J396" s="78"/>
      <c r="K396" s="78"/>
      <c r="L396" s="78"/>
      <c r="M396" s="78"/>
    </row>
    <row r="397" spans="1:13" x14ac:dyDescent="0.25">
      <c r="D397" s="63" t="s">
        <v>20</v>
      </c>
      <c r="E397" s="63" t="s">
        <v>21</v>
      </c>
      <c r="F397" s="63" t="s">
        <v>22</v>
      </c>
      <c r="G397" s="63" t="s">
        <v>1</v>
      </c>
      <c r="H397" s="63" t="s">
        <v>2</v>
      </c>
      <c r="I397" s="63" t="s">
        <v>3</v>
      </c>
      <c r="J397" s="63" t="s">
        <v>4</v>
      </c>
      <c r="K397" s="63" t="s">
        <v>5</v>
      </c>
      <c r="L397" s="63" t="s">
        <v>6</v>
      </c>
      <c r="M397" s="63" t="s">
        <v>7</v>
      </c>
    </row>
    <row r="398" spans="1:13" x14ac:dyDescent="0.25">
      <c r="A398" s="59">
        <v>7</v>
      </c>
      <c r="B398" s="59">
        <v>1</v>
      </c>
      <c r="C398" s="59">
        <v>1</v>
      </c>
      <c r="D398" s="3" t="s">
        <v>223</v>
      </c>
      <c r="E398" s="64">
        <v>610</v>
      </c>
      <c r="F398" s="64" t="s">
        <v>105</v>
      </c>
      <c r="G398" s="65">
        <v>42130.6</v>
      </c>
      <c r="H398" s="65">
        <v>36294.730000000003</v>
      </c>
      <c r="I398" s="65">
        <v>28455</v>
      </c>
      <c r="J398" s="65">
        <v>27474.49</v>
      </c>
      <c r="K398" s="65">
        <v>28455</v>
      </c>
      <c r="L398" s="65">
        <f t="shared" ref="L398:M400" si="102">K398</f>
        <v>28455</v>
      </c>
      <c r="M398" s="65">
        <f t="shared" si="102"/>
        <v>28455</v>
      </c>
    </row>
    <row r="399" spans="1:13" x14ac:dyDescent="0.25">
      <c r="A399" s="59">
        <v>7</v>
      </c>
      <c r="B399" s="59">
        <v>1</v>
      </c>
      <c r="C399" s="59">
        <v>1</v>
      </c>
      <c r="D399" s="3"/>
      <c r="E399" s="64">
        <v>620</v>
      </c>
      <c r="F399" s="64" t="s">
        <v>106</v>
      </c>
      <c r="G399" s="65">
        <v>14378.06</v>
      </c>
      <c r="H399" s="65">
        <v>12685.01</v>
      </c>
      <c r="I399" s="65">
        <v>9945</v>
      </c>
      <c r="J399" s="65">
        <v>9894.5499999999993</v>
      </c>
      <c r="K399" s="65">
        <v>9945</v>
      </c>
      <c r="L399" s="65">
        <f t="shared" si="102"/>
        <v>9945</v>
      </c>
      <c r="M399" s="65">
        <f t="shared" si="102"/>
        <v>9945</v>
      </c>
    </row>
    <row r="400" spans="1:13" x14ac:dyDescent="0.25">
      <c r="A400" s="59">
        <v>7</v>
      </c>
      <c r="B400" s="59">
        <v>1</v>
      </c>
      <c r="C400" s="59">
        <v>1</v>
      </c>
      <c r="D400" s="3"/>
      <c r="E400" s="64">
        <v>630</v>
      </c>
      <c r="F400" s="64" t="s">
        <v>107</v>
      </c>
      <c r="G400" s="65">
        <v>3082.36</v>
      </c>
      <c r="H400" s="65">
        <v>1209.8</v>
      </c>
      <c r="I400" s="65">
        <v>0</v>
      </c>
      <c r="J400" s="65">
        <v>978.36</v>
      </c>
      <c r="K400" s="65">
        <v>0</v>
      </c>
      <c r="L400" s="65">
        <f t="shared" si="102"/>
        <v>0</v>
      </c>
      <c r="M400" s="65">
        <f t="shared" si="102"/>
        <v>0</v>
      </c>
    </row>
    <row r="401" spans="1:13" x14ac:dyDescent="0.25">
      <c r="A401" s="59">
        <v>7</v>
      </c>
      <c r="B401" s="59">
        <v>1</v>
      </c>
      <c r="C401" s="59">
        <v>1</v>
      </c>
      <c r="D401" s="102" t="s">
        <v>8</v>
      </c>
      <c r="E401" s="103">
        <v>111</v>
      </c>
      <c r="F401" s="103" t="s">
        <v>130</v>
      </c>
      <c r="G401" s="104">
        <f t="shared" ref="G401:M401" si="103">SUM(G398:G400)</f>
        <v>59591.02</v>
      </c>
      <c r="H401" s="104">
        <f t="shared" si="103"/>
        <v>50189.540000000008</v>
      </c>
      <c r="I401" s="104">
        <f t="shared" si="103"/>
        <v>38400</v>
      </c>
      <c r="J401" s="104">
        <f t="shared" si="103"/>
        <v>38347.4</v>
      </c>
      <c r="K401" s="104">
        <f t="shared" si="103"/>
        <v>38400</v>
      </c>
      <c r="L401" s="104">
        <f t="shared" si="103"/>
        <v>38400</v>
      </c>
      <c r="M401" s="104">
        <f t="shared" si="103"/>
        <v>38400</v>
      </c>
    </row>
    <row r="402" spans="1:13" x14ac:dyDescent="0.25">
      <c r="A402" s="59">
        <v>7</v>
      </c>
      <c r="B402" s="59">
        <v>1</v>
      </c>
      <c r="C402" s="59">
        <v>1</v>
      </c>
      <c r="D402" s="3" t="s">
        <v>223</v>
      </c>
      <c r="E402" s="64">
        <v>610</v>
      </c>
      <c r="F402" s="64" t="s">
        <v>105</v>
      </c>
      <c r="G402" s="65">
        <v>24014.29</v>
      </c>
      <c r="H402" s="65">
        <v>17516.8</v>
      </c>
      <c r="I402" s="65">
        <v>20507</v>
      </c>
      <c r="J402" s="65">
        <v>18802.14</v>
      </c>
      <c r="K402" s="65">
        <v>18249</v>
      </c>
      <c r="L402" s="65">
        <v>18848</v>
      </c>
      <c r="M402" s="65">
        <v>19470</v>
      </c>
    </row>
    <row r="403" spans="1:13" x14ac:dyDescent="0.25">
      <c r="A403" s="59">
        <v>7</v>
      </c>
      <c r="B403" s="59">
        <v>1</v>
      </c>
      <c r="C403" s="59">
        <v>1</v>
      </c>
      <c r="D403" s="3"/>
      <c r="E403" s="64">
        <v>620</v>
      </c>
      <c r="F403" s="64" t="s">
        <v>106</v>
      </c>
      <c r="G403" s="65">
        <v>8383.1</v>
      </c>
      <c r="H403" s="65">
        <v>5988.15</v>
      </c>
      <c r="I403" s="65">
        <v>8691</v>
      </c>
      <c r="J403" s="65">
        <v>7347.28</v>
      </c>
      <c r="K403" s="65">
        <v>8189</v>
      </c>
      <c r="L403" s="65">
        <v>7532</v>
      </c>
      <c r="M403" s="65">
        <v>7765</v>
      </c>
    </row>
    <row r="404" spans="1:13" x14ac:dyDescent="0.25">
      <c r="A404" s="59">
        <v>7</v>
      </c>
      <c r="B404" s="59">
        <v>1</v>
      </c>
      <c r="C404" s="59">
        <v>1</v>
      </c>
      <c r="D404" s="3"/>
      <c r="E404" s="64">
        <v>630</v>
      </c>
      <c r="F404" s="64" t="s">
        <v>107</v>
      </c>
      <c r="G404" s="65">
        <v>15031.72</v>
      </c>
      <c r="H404" s="65">
        <v>14092.54</v>
      </c>
      <c r="I404" s="65">
        <v>11073</v>
      </c>
      <c r="J404" s="65">
        <v>13927.4</v>
      </c>
      <c r="K404" s="65">
        <f>7685+6594+3000+746-305</f>
        <v>17720</v>
      </c>
      <c r="L404" s="65">
        <f>K404-3000</f>
        <v>14720</v>
      </c>
      <c r="M404" s="65">
        <f>L404</f>
        <v>14720</v>
      </c>
    </row>
    <row r="405" spans="1:13" x14ac:dyDescent="0.25">
      <c r="A405" s="59">
        <v>7</v>
      </c>
      <c r="B405" s="59">
        <v>1</v>
      </c>
      <c r="C405" s="59">
        <v>1</v>
      </c>
      <c r="D405" s="3"/>
      <c r="E405" s="64">
        <v>640</v>
      </c>
      <c r="F405" s="64" t="s">
        <v>108</v>
      </c>
      <c r="G405" s="65">
        <v>253.82</v>
      </c>
      <c r="H405" s="65">
        <v>796.19</v>
      </c>
      <c r="I405" s="65">
        <v>2349</v>
      </c>
      <c r="J405" s="65">
        <v>342.63</v>
      </c>
      <c r="K405" s="65">
        <v>2510</v>
      </c>
      <c r="L405" s="65">
        <v>0</v>
      </c>
      <c r="M405" s="65">
        <f>L405</f>
        <v>0</v>
      </c>
    </row>
    <row r="406" spans="1:13" x14ac:dyDescent="0.25">
      <c r="A406" s="59">
        <v>7</v>
      </c>
      <c r="B406" s="59">
        <v>1</v>
      </c>
      <c r="C406" s="59">
        <v>1</v>
      </c>
      <c r="D406" s="102" t="s">
        <v>8</v>
      </c>
      <c r="E406" s="103">
        <v>41</v>
      </c>
      <c r="F406" s="103" t="s">
        <v>10</v>
      </c>
      <c r="G406" s="104">
        <f t="shared" ref="G406:M406" si="104">SUM(G402:G405)</f>
        <v>47682.93</v>
      </c>
      <c r="H406" s="104">
        <f t="shared" si="104"/>
        <v>38393.68</v>
      </c>
      <c r="I406" s="104">
        <f t="shared" si="104"/>
        <v>42620</v>
      </c>
      <c r="J406" s="104">
        <f t="shared" si="104"/>
        <v>40419.449999999997</v>
      </c>
      <c r="K406" s="104">
        <f t="shared" si="104"/>
        <v>46668</v>
      </c>
      <c r="L406" s="104">
        <f t="shared" si="104"/>
        <v>41100</v>
      </c>
      <c r="M406" s="104">
        <f t="shared" si="104"/>
        <v>41955</v>
      </c>
    </row>
    <row r="407" spans="1:13" x14ac:dyDescent="0.25">
      <c r="A407" s="59">
        <v>7</v>
      </c>
      <c r="B407" s="59">
        <v>1</v>
      </c>
      <c r="C407" s="59">
        <v>1</v>
      </c>
      <c r="D407" s="68"/>
      <c r="E407" s="69"/>
      <c r="F407" s="66" t="s">
        <v>18</v>
      </c>
      <c r="G407" s="67">
        <f t="shared" ref="G407:M407" si="105">G401+G406</f>
        <v>107273.95</v>
      </c>
      <c r="H407" s="67">
        <f t="shared" si="105"/>
        <v>88583.22</v>
      </c>
      <c r="I407" s="67">
        <f t="shared" si="105"/>
        <v>81020</v>
      </c>
      <c r="J407" s="67">
        <f t="shared" si="105"/>
        <v>78766.850000000006</v>
      </c>
      <c r="K407" s="67">
        <f t="shared" si="105"/>
        <v>85068</v>
      </c>
      <c r="L407" s="67">
        <f t="shared" si="105"/>
        <v>79500</v>
      </c>
      <c r="M407" s="67">
        <f t="shared" si="105"/>
        <v>80355</v>
      </c>
    </row>
    <row r="409" spans="1:13" x14ac:dyDescent="0.25">
      <c r="E409" s="90" t="s">
        <v>43</v>
      </c>
      <c r="F409" s="68" t="s">
        <v>123</v>
      </c>
      <c r="G409" s="91">
        <v>2618.7800000000002</v>
      </c>
      <c r="H409" s="91">
        <v>2739</v>
      </c>
      <c r="I409" s="91">
        <v>2700</v>
      </c>
      <c r="J409" s="91">
        <v>3023.98</v>
      </c>
      <c r="K409" s="91">
        <v>2695</v>
      </c>
      <c r="L409" s="91">
        <f>K409</f>
        <v>2695</v>
      </c>
      <c r="M409" s="92">
        <f>L409</f>
        <v>2695</v>
      </c>
    </row>
    <row r="410" spans="1:13" x14ac:dyDescent="0.25">
      <c r="E410" s="93"/>
      <c r="F410" s="96" t="s">
        <v>124</v>
      </c>
      <c r="G410" s="97"/>
      <c r="H410" s="97"/>
      <c r="I410" s="97"/>
      <c r="J410" s="97">
        <v>782</v>
      </c>
      <c r="K410" s="97">
        <v>3096</v>
      </c>
      <c r="L410" s="97">
        <f>K410</f>
        <v>3096</v>
      </c>
      <c r="M410" s="95">
        <f>L410</f>
        <v>3096</v>
      </c>
    </row>
    <row r="411" spans="1:13" x14ac:dyDescent="0.25">
      <c r="E411" s="93"/>
      <c r="F411" s="96" t="s">
        <v>224</v>
      </c>
      <c r="G411" s="97"/>
      <c r="H411" s="97"/>
      <c r="I411" s="97"/>
      <c r="J411" s="97"/>
      <c r="K411" s="97">
        <v>6200</v>
      </c>
      <c r="L411" s="97"/>
      <c r="M411" s="95"/>
    </row>
    <row r="412" spans="1:13" x14ac:dyDescent="0.25">
      <c r="E412" s="98"/>
      <c r="F412" s="99" t="s">
        <v>225</v>
      </c>
      <c r="G412" s="100">
        <v>3393.36</v>
      </c>
      <c r="H412" s="100">
        <v>2405.54</v>
      </c>
      <c r="I412" s="100">
        <v>500</v>
      </c>
      <c r="J412" s="100"/>
      <c r="K412" s="100"/>
      <c r="L412" s="100">
        <v>0</v>
      </c>
      <c r="M412" s="101">
        <v>0</v>
      </c>
    </row>
    <row r="414" spans="1:13" x14ac:dyDescent="0.25">
      <c r="D414" s="78" t="s">
        <v>226</v>
      </c>
      <c r="E414" s="78"/>
      <c r="F414" s="78"/>
      <c r="G414" s="78"/>
      <c r="H414" s="78"/>
      <c r="I414" s="78"/>
      <c r="J414" s="78"/>
      <c r="K414" s="78"/>
      <c r="L414" s="78"/>
      <c r="M414" s="78"/>
    </row>
    <row r="415" spans="1:13" x14ac:dyDescent="0.25">
      <c r="D415" s="63" t="s">
        <v>20</v>
      </c>
      <c r="E415" s="63" t="s">
        <v>21</v>
      </c>
      <c r="F415" s="63" t="s">
        <v>22</v>
      </c>
      <c r="G415" s="63" t="s">
        <v>1</v>
      </c>
      <c r="H415" s="63" t="s">
        <v>2</v>
      </c>
      <c r="I415" s="63" t="s">
        <v>3</v>
      </c>
      <c r="J415" s="63" t="s">
        <v>4</v>
      </c>
      <c r="K415" s="63" t="s">
        <v>5</v>
      </c>
      <c r="L415" s="63" t="s">
        <v>6</v>
      </c>
      <c r="M415" s="63" t="s">
        <v>7</v>
      </c>
    </row>
    <row r="416" spans="1:13" x14ac:dyDescent="0.25">
      <c r="A416" s="59">
        <v>7</v>
      </c>
      <c r="B416" s="59">
        <v>1</v>
      </c>
      <c r="C416" s="59">
        <v>2</v>
      </c>
      <c r="D416" s="79" t="s">
        <v>223</v>
      </c>
      <c r="E416" s="64">
        <v>630</v>
      </c>
      <c r="F416" s="64" t="s">
        <v>107</v>
      </c>
      <c r="G416" s="65">
        <v>6618.18</v>
      </c>
      <c r="H416" s="65">
        <v>5755.87</v>
      </c>
      <c r="I416" s="65">
        <v>7000</v>
      </c>
      <c r="J416" s="65">
        <v>6560.61</v>
      </c>
      <c r="K416" s="65">
        <v>6500</v>
      </c>
      <c r="L416" s="65">
        <f>K416</f>
        <v>6500</v>
      </c>
      <c r="M416" s="65">
        <f>L416</f>
        <v>6500</v>
      </c>
    </row>
    <row r="417" spans="1:13" x14ac:dyDescent="0.25">
      <c r="A417" s="59">
        <v>7</v>
      </c>
      <c r="B417" s="59">
        <v>1</v>
      </c>
      <c r="C417" s="59">
        <v>2</v>
      </c>
      <c r="D417" s="81" t="s">
        <v>8</v>
      </c>
      <c r="E417" s="66">
        <v>41</v>
      </c>
      <c r="F417" s="66" t="s">
        <v>10</v>
      </c>
      <c r="G417" s="67">
        <f t="shared" ref="G417:M417" si="106">SUM(G416:G416)</f>
        <v>6618.18</v>
      </c>
      <c r="H417" s="67">
        <f t="shared" si="106"/>
        <v>5755.87</v>
      </c>
      <c r="I417" s="67">
        <f t="shared" si="106"/>
        <v>7000</v>
      </c>
      <c r="J417" s="67">
        <f t="shared" si="106"/>
        <v>6560.61</v>
      </c>
      <c r="K417" s="67">
        <f t="shared" si="106"/>
        <v>6500</v>
      </c>
      <c r="L417" s="67">
        <f t="shared" si="106"/>
        <v>6500</v>
      </c>
      <c r="M417" s="67">
        <f t="shared" si="106"/>
        <v>6500</v>
      </c>
    </row>
    <row r="419" spans="1:13" x14ac:dyDescent="0.25">
      <c r="E419" s="90" t="s">
        <v>43</v>
      </c>
      <c r="F419" s="68" t="s">
        <v>227</v>
      </c>
      <c r="G419" s="91">
        <v>5075.54</v>
      </c>
      <c r="H419" s="91">
        <v>4917.42</v>
      </c>
      <c r="I419" s="91">
        <f>5000</f>
        <v>5000</v>
      </c>
      <c r="J419" s="91">
        <v>4812.72</v>
      </c>
      <c r="K419" s="91">
        <v>5000</v>
      </c>
      <c r="L419" s="91">
        <f>K419</f>
        <v>5000</v>
      </c>
      <c r="M419" s="92">
        <f>L419</f>
        <v>5000</v>
      </c>
    </row>
    <row r="420" spans="1:13" x14ac:dyDescent="0.25">
      <c r="E420" s="98"/>
      <c r="F420" s="99" t="s">
        <v>228</v>
      </c>
      <c r="G420" s="100"/>
      <c r="H420" s="100"/>
      <c r="I420" s="100"/>
      <c r="J420" s="100">
        <v>1747.89</v>
      </c>
      <c r="K420" s="100">
        <v>1500</v>
      </c>
      <c r="L420" s="100">
        <f>K420</f>
        <v>1500</v>
      </c>
      <c r="M420" s="101">
        <f>L420</f>
        <v>1500</v>
      </c>
    </row>
    <row r="422" spans="1:13" x14ac:dyDescent="0.25">
      <c r="D422" s="76" t="s">
        <v>229</v>
      </c>
      <c r="E422" s="76"/>
      <c r="F422" s="76"/>
      <c r="G422" s="76"/>
      <c r="H422" s="76"/>
      <c r="I422" s="76"/>
      <c r="J422" s="76"/>
      <c r="K422" s="76"/>
      <c r="L422" s="76"/>
      <c r="M422" s="76"/>
    </row>
    <row r="423" spans="1:13" x14ac:dyDescent="0.25">
      <c r="D423" s="63" t="s">
        <v>20</v>
      </c>
      <c r="E423" s="63" t="s">
        <v>21</v>
      </c>
      <c r="F423" s="63" t="s">
        <v>22</v>
      </c>
      <c r="G423" s="63" t="s">
        <v>1</v>
      </c>
      <c r="H423" s="63" t="s">
        <v>2</v>
      </c>
      <c r="I423" s="63" t="s">
        <v>3</v>
      </c>
      <c r="J423" s="63" t="s">
        <v>4</v>
      </c>
      <c r="K423" s="63" t="s">
        <v>5</v>
      </c>
      <c r="L423" s="63" t="s">
        <v>6</v>
      </c>
      <c r="M423" s="63" t="s">
        <v>7</v>
      </c>
    </row>
    <row r="424" spans="1:13" x14ac:dyDescent="0.25">
      <c r="A424" s="59">
        <v>7</v>
      </c>
      <c r="B424" s="59">
        <v>2</v>
      </c>
      <c r="D424" s="89" t="s">
        <v>230</v>
      </c>
      <c r="E424" s="64">
        <v>640</v>
      </c>
      <c r="F424" s="64" t="s">
        <v>108</v>
      </c>
      <c r="G424" s="65">
        <v>1620.36</v>
      </c>
      <c r="H424" s="65">
        <v>1317.12</v>
      </c>
      <c r="I424" s="65">
        <v>1300</v>
      </c>
      <c r="J424" s="65">
        <v>540.96</v>
      </c>
      <c r="K424" s="65">
        <v>500</v>
      </c>
      <c r="L424" s="65">
        <f>K424</f>
        <v>500</v>
      </c>
      <c r="M424" s="65">
        <f>L424</f>
        <v>500</v>
      </c>
    </row>
    <row r="425" spans="1:13" x14ac:dyDescent="0.25">
      <c r="A425" s="59">
        <v>7</v>
      </c>
      <c r="B425" s="59">
        <v>2</v>
      </c>
      <c r="D425" s="118" t="s">
        <v>231</v>
      </c>
      <c r="E425" s="64">
        <v>630</v>
      </c>
      <c r="F425" s="64" t="s">
        <v>107</v>
      </c>
      <c r="G425" s="65">
        <v>0</v>
      </c>
      <c r="H425" s="65">
        <v>742</v>
      </c>
      <c r="I425" s="65">
        <v>700</v>
      </c>
      <c r="J425" s="65">
        <v>493</v>
      </c>
      <c r="K425" s="65">
        <v>300</v>
      </c>
      <c r="L425" s="65">
        <f>K425</f>
        <v>300</v>
      </c>
      <c r="M425" s="65">
        <f>L425</f>
        <v>300</v>
      </c>
    </row>
    <row r="426" spans="1:13" x14ac:dyDescent="0.25">
      <c r="A426" s="59">
        <v>7</v>
      </c>
      <c r="B426" s="59">
        <v>2</v>
      </c>
      <c r="D426" s="102" t="s">
        <v>8</v>
      </c>
      <c r="E426" s="103">
        <v>111</v>
      </c>
      <c r="F426" s="103" t="s">
        <v>130</v>
      </c>
      <c r="G426" s="104">
        <f t="shared" ref="G426:M426" si="107">SUM(G424:G425)</f>
        <v>1620.36</v>
      </c>
      <c r="H426" s="104">
        <f t="shared" si="107"/>
        <v>2059.12</v>
      </c>
      <c r="I426" s="104">
        <f t="shared" si="107"/>
        <v>2000</v>
      </c>
      <c r="J426" s="104">
        <f t="shared" si="107"/>
        <v>1033.96</v>
      </c>
      <c r="K426" s="104">
        <f t="shared" si="107"/>
        <v>800</v>
      </c>
      <c r="L426" s="104">
        <f t="shared" si="107"/>
        <v>800</v>
      </c>
      <c r="M426" s="104">
        <f t="shared" si="107"/>
        <v>800</v>
      </c>
    </row>
    <row r="427" spans="1:13" x14ac:dyDescent="0.25">
      <c r="A427" s="59">
        <v>7</v>
      </c>
      <c r="B427" s="59">
        <v>2</v>
      </c>
      <c r="D427" s="119" t="s">
        <v>230</v>
      </c>
      <c r="E427" s="64">
        <v>640</v>
      </c>
      <c r="F427" s="64" t="s">
        <v>108</v>
      </c>
      <c r="G427" s="65">
        <v>2916.74</v>
      </c>
      <c r="H427" s="65">
        <v>3400</v>
      </c>
      <c r="I427" s="65">
        <v>3000</v>
      </c>
      <c r="J427" s="65">
        <v>4850</v>
      </c>
      <c r="K427" s="65">
        <v>3250</v>
      </c>
      <c r="L427" s="65">
        <f>K427</f>
        <v>3250</v>
      </c>
      <c r="M427" s="65">
        <f>L427</f>
        <v>3250</v>
      </c>
    </row>
    <row r="428" spans="1:13" x14ac:dyDescent="0.25">
      <c r="A428" s="59">
        <v>7</v>
      </c>
      <c r="B428" s="59">
        <v>2</v>
      </c>
      <c r="D428" s="118" t="s">
        <v>231</v>
      </c>
      <c r="E428" s="64">
        <v>640</v>
      </c>
      <c r="F428" s="64" t="s">
        <v>108</v>
      </c>
      <c r="G428" s="65">
        <v>2915.87</v>
      </c>
      <c r="H428" s="65">
        <v>150</v>
      </c>
      <c r="I428" s="65">
        <v>500</v>
      </c>
      <c r="J428" s="65">
        <v>0</v>
      </c>
      <c r="K428" s="65">
        <v>0</v>
      </c>
      <c r="L428" s="65">
        <f>K428</f>
        <v>0</v>
      </c>
      <c r="M428" s="65">
        <f>L428</f>
        <v>0</v>
      </c>
    </row>
    <row r="429" spans="1:13" x14ac:dyDescent="0.25">
      <c r="A429" s="59">
        <v>7</v>
      </c>
      <c r="B429" s="59">
        <v>2</v>
      </c>
      <c r="D429" s="102" t="s">
        <v>8</v>
      </c>
      <c r="E429" s="103">
        <v>41</v>
      </c>
      <c r="F429" s="103" t="s">
        <v>10</v>
      </c>
      <c r="G429" s="104">
        <f t="shared" ref="G429:M429" si="108">SUM(G427:G428)</f>
        <v>5832.61</v>
      </c>
      <c r="H429" s="104">
        <f t="shared" si="108"/>
        <v>3550</v>
      </c>
      <c r="I429" s="104">
        <f t="shared" si="108"/>
        <v>3500</v>
      </c>
      <c r="J429" s="104">
        <f t="shared" si="108"/>
        <v>4850</v>
      </c>
      <c r="K429" s="104">
        <f t="shared" si="108"/>
        <v>3250</v>
      </c>
      <c r="L429" s="104">
        <f t="shared" si="108"/>
        <v>3250</v>
      </c>
      <c r="M429" s="104">
        <f t="shared" si="108"/>
        <v>3250</v>
      </c>
    </row>
    <row r="430" spans="1:13" x14ac:dyDescent="0.25">
      <c r="A430" s="59">
        <v>7</v>
      </c>
      <c r="B430" s="59">
        <v>2</v>
      </c>
      <c r="D430" s="68"/>
      <c r="E430" s="69"/>
      <c r="F430" s="66" t="s">
        <v>18</v>
      </c>
      <c r="G430" s="67">
        <f t="shared" ref="G430:M430" si="109">G426+G429</f>
        <v>7452.9699999999993</v>
      </c>
      <c r="H430" s="67">
        <f t="shared" si="109"/>
        <v>5609.12</v>
      </c>
      <c r="I430" s="67">
        <f t="shared" si="109"/>
        <v>5500</v>
      </c>
      <c r="J430" s="67">
        <f t="shared" si="109"/>
        <v>5883.96</v>
      </c>
      <c r="K430" s="67">
        <f t="shared" si="109"/>
        <v>4050</v>
      </c>
      <c r="L430" s="67">
        <f t="shared" si="109"/>
        <v>4050</v>
      </c>
      <c r="M430" s="67">
        <f t="shared" si="109"/>
        <v>4050</v>
      </c>
    </row>
    <row r="432" spans="1:13" x14ac:dyDescent="0.25">
      <c r="D432" s="120" t="s">
        <v>232</v>
      </c>
      <c r="E432" s="120"/>
      <c r="F432" s="120"/>
      <c r="G432" s="120"/>
      <c r="H432" s="120"/>
      <c r="I432" s="120"/>
      <c r="J432" s="120"/>
      <c r="K432" s="120"/>
      <c r="L432" s="120"/>
      <c r="M432" s="120"/>
    </row>
    <row r="433" spans="1:13" x14ac:dyDescent="0.25">
      <c r="D433" s="121" t="s">
        <v>20</v>
      </c>
      <c r="E433" s="121" t="s">
        <v>21</v>
      </c>
      <c r="F433" s="121" t="s">
        <v>22</v>
      </c>
      <c r="G433" s="121" t="s">
        <v>1</v>
      </c>
      <c r="H433" s="121" t="s">
        <v>2</v>
      </c>
      <c r="I433" s="121" t="s">
        <v>3</v>
      </c>
      <c r="J433" s="121" t="s">
        <v>4</v>
      </c>
      <c r="K433" s="121" t="s">
        <v>5</v>
      </c>
      <c r="L433" s="121" t="s">
        <v>6</v>
      </c>
      <c r="M433" s="121" t="s">
        <v>7</v>
      </c>
    </row>
    <row r="434" spans="1:13" x14ac:dyDescent="0.25">
      <c r="A434" s="59">
        <v>7</v>
      </c>
      <c r="B434" s="59">
        <v>3</v>
      </c>
      <c r="D434" s="1" t="s">
        <v>186</v>
      </c>
      <c r="E434" s="122">
        <v>610</v>
      </c>
      <c r="F434" s="122" t="s">
        <v>105</v>
      </c>
      <c r="G434" s="123">
        <v>0</v>
      </c>
      <c r="H434" s="123">
        <v>0</v>
      </c>
      <c r="I434" s="123">
        <v>5830</v>
      </c>
      <c r="J434" s="123">
        <v>0</v>
      </c>
      <c r="K434" s="123"/>
      <c r="L434" s="123"/>
      <c r="M434" s="123"/>
    </row>
    <row r="435" spans="1:13" x14ac:dyDescent="0.25">
      <c r="A435" s="59">
        <v>7</v>
      </c>
      <c r="B435" s="59">
        <v>3</v>
      </c>
      <c r="D435" s="1"/>
      <c r="E435" s="122">
        <v>620</v>
      </c>
      <c r="F435" s="122" t="s">
        <v>106</v>
      </c>
      <c r="G435" s="123">
        <v>0</v>
      </c>
      <c r="H435" s="123">
        <v>0</v>
      </c>
      <c r="I435" s="123">
        <v>2038</v>
      </c>
      <c r="J435" s="123">
        <v>0</v>
      </c>
      <c r="K435" s="123"/>
      <c r="L435" s="123"/>
      <c r="M435" s="123"/>
    </row>
    <row r="436" spans="1:13" x14ac:dyDescent="0.25">
      <c r="A436" s="59">
        <v>7</v>
      </c>
      <c r="B436" s="59">
        <v>3</v>
      </c>
      <c r="D436" s="1"/>
      <c r="E436" s="122">
        <v>630</v>
      </c>
      <c r="F436" s="122" t="s">
        <v>107</v>
      </c>
      <c r="G436" s="123">
        <v>0</v>
      </c>
      <c r="H436" s="123">
        <v>0</v>
      </c>
      <c r="I436" s="123">
        <v>700</v>
      </c>
      <c r="J436" s="123">
        <v>0</v>
      </c>
      <c r="K436" s="123"/>
      <c r="L436" s="123"/>
      <c r="M436" s="123"/>
    </row>
    <row r="437" spans="1:13" x14ac:dyDescent="0.25">
      <c r="A437" s="59">
        <v>7</v>
      </c>
      <c r="B437" s="59">
        <v>3</v>
      </c>
      <c r="D437" s="124" t="s">
        <v>8</v>
      </c>
      <c r="E437" s="125">
        <v>111</v>
      </c>
      <c r="F437" s="125" t="s">
        <v>130</v>
      </c>
      <c r="G437" s="126">
        <f t="shared" ref="G437:M437" si="110">SUM(G434:G436)</f>
        <v>0</v>
      </c>
      <c r="H437" s="126">
        <f t="shared" si="110"/>
        <v>0</v>
      </c>
      <c r="I437" s="126">
        <f t="shared" si="110"/>
        <v>8568</v>
      </c>
      <c r="J437" s="126">
        <f t="shared" si="110"/>
        <v>0</v>
      </c>
      <c r="K437" s="126">
        <f t="shared" si="110"/>
        <v>0</v>
      </c>
      <c r="L437" s="126">
        <f t="shared" si="110"/>
        <v>0</v>
      </c>
      <c r="M437" s="126">
        <f t="shared" si="110"/>
        <v>0</v>
      </c>
    </row>
    <row r="438" spans="1:13" x14ac:dyDescent="0.25">
      <c r="A438" s="59">
        <v>7</v>
      </c>
      <c r="B438" s="59">
        <v>3</v>
      </c>
      <c r="D438" s="1" t="s">
        <v>186</v>
      </c>
      <c r="E438" s="122">
        <v>610</v>
      </c>
      <c r="F438" s="122" t="s">
        <v>105</v>
      </c>
      <c r="G438" s="123">
        <v>7217.85</v>
      </c>
      <c r="H438" s="123">
        <v>6323.5</v>
      </c>
      <c r="I438" s="123">
        <v>0</v>
      </c>
      <c r="J438" s="123">
        <v>0</v>
      </c>
      <c r="K438" s="123"/>
      <c r="L438" s="123"/>
      <c r="M438" s="123"/>
    </row>
    <row r="439" spans="1:13" x14ac:dyDescent="0.25">
      <c r="A439" s="59">
        <v>7</v>
      </c>
      <c r="B439" s="59">
        <v>3</v>
      </c>
      <c r="D439" s="1"/>
      <c r="E439" s="122">
        <v>620</v>
      </c>
      <c r="F439" s="122" t="s">
        <v>106</v>
      </c>
      <c r="G439" s="123">
        <v>2593.4699999999998</v>
      </c>
      <c r="H439" s="123">
        <v>2122.5</v>
      </c>
      <c r="I439" s="123">
        <v>0</v>
      </c>
      <c r="J439" s="123">
        <v>0</v>
      </c>
      <c r="K439" s="123"/>
      <c r="L439" s="123"/>
      <c r="M439" s="123"/>
    </row>
    <row r="440" spans="1:13" x14ac:dyDescent="0.25">
      <c r="A440" s="59">
        <v>7</v>
      </c>
      <c r="B440" s="59">
        <v>3</v>
      </c>
      <c r="D440" s="1"/>
      <c r="E440" s="122">
        <v>630</v>
      </c>
      <c r="F440" s="122" t="s">
        <v>107</v>
      </c>
      <c r="G440" s="123">
        <v>740.58</v>
      </c>
      <c r="H440" s="123">
        <v>1339.34</v>
      </c>
      <c r="I440" s="123">
        <v>768</v>
      </c>
      <c r="J440" s="123">
        <v>105.54</v>
      </c>
      <c r="K440" s="123"/>
      <c r="L440" s="123"/>
      <c r="M440" s="123"/>
    </row>
    <row r="441" spans="1:13" x14ac:dyDescent="0.25">
      <c r="A441" s="59">
        <v>7</v>
      </c>
      <c r="B441" s="59">
        <v>3</v>
      </c>
      <c r="D441" s="124" t="s">
        <v>8</v>
      </c>
      <c r="E441" s="125">
        <v>41</v>
      </c>
      <c r="F441" s="125" t="s">
        <v>10</v>
      </c>
      <c r="G441" s="126">
        <f t="shared" ref="G441:M441" si="111">SUM(G438:G440)</f>
        <v>10551.9</v>
      </c>
      <c r="H441" s="126">
        <f t="shared" si="111"/>
        <v>9785.34</v>
      </c>
      <c r="I441" s="126">
        <f t="shared" si="111"/>
        <v>768</v>
      </c>
      <c r="J441" s="126">
        <f t="shared" si="111"/>
        <v>105.54</v>
      </c>
      <c r="K441" s="126">
        <f t="shared" si="111"/>
        <v>0</v>
      </c>
      <c r="L441" s="126">
        <f t="shared" si="111"/>
        <v>0</v>
      </c>
      <c r="M441" s="126">
        <f t="shared" si="111"/>
        <v>0</v>
      </c>
    </row>
    <row r="442" spans="1:13" x14ac:dyDescent="0.25">
      <c r="A442" s="59">
        <v>7</v>
      </c>
      <c r="B442" s="59">
        <v>3</v>
      </c>
      <c r="D442" s="127"/>
      <c r="E442" s="128"/>
      <c r="F442" s="129" t="s">
        <v>18</v>
      </c>
      <c r="G442" s="130">
        <f t="shared" ref="G442:M442" si="112">G437+G441</f>
        <v>10551.9</v>
      </c>
      <c r="H442" s="130">
        <f t="shared" si="112"/>
        <v>9785.34</v>
      </c>
      <c r="I442" s="130">
        <f t="shared" si="112"/>
        <v>9336</v>
      </c>
      <c r="J442" s="130">
        <f t="shared" si="112"/>
        <v>105.54</v>
      </c>
      <c r="K442" s="130">
        <f t="shared" si="112"/>
        <v>0</v>
      </c>
      <c r="L442" s="130">
        <f t="shared" si="112"/>
        <v>0</v>
      </c>
      <c r="M442" s="130">
        <f t="shared" si="112"/>
        <v>0</v>
      </c>
    </row>
    <row r="444" spans="1:13" x14ac:dyDescent="0.25">
      <c r="D444" s="70" t="s">
        <v>233</v>
      </c>
      <c r="E444" s="70"/>
      <c r="F444" s="70"/>
      <c r="G444" s="70"/>
      <c r="H444" s="70"/>
      <c r="I444" s="70"/>
      <c r="J444" s="70"/>
      <c r="K444" s="70"/>
      <c r="L444" s="70"/>
      <c r="M444" s="70"/>
    </row>
    <row r="445" spans="1:13" x14ac:dyDescent="0.25">
      <c r="D445" s="62"/>
      <c r="E445" s="62"/>
      <c r="F445" s="62"/>
      <c r="G445" s="63" t="s">
        <v>1</v>
      </c>
      <c r="H445" s="63" t="s">
        <v>2</v>
      </c>
      <c r="I445" s="63" t="s">
        <v>3</v>
      </c>
      <c r="J445" s="63" t="s">
        <v>4</v>
      </c>
      <c r="K445" s="63" t="s">
        <v>5</v>
      </c>
      <c r="L445" s="63" t="s">
        <v>6</v>
      </c>
      <c r="M445" s="63" t="s">
        <v>7</v>
      </c>
    </row>
    <row r="446" spans="1:13" x14ac:dyDescent="0.25">
      <c r="A446" s="59">
        <v>8</v>
      </c>
      <c r="D446" s="7" t="s">
        <v>8</v>
      </c>
      <c r="E446" s="72">
        <v>111</v>
      </c>
      <c r="F446" s="72" t="s">
        <v>89</v>
      </c>
      <c r="G446" s="73">
        <f>G468+G505+G535</f>
        <v>0</v>
      </c>
      <c r="H446" s="73">
        <f>H468+H505+H535</f>
        <v>10000</v>
      </c>
      <c r="I446" s="73">
        <f>I468+I505+I535</f>
        <v>0</v>
      </c>
      <c r="J446" s="73">
        <f>J468+J505+J535</f>
        <v>50000</v>
      </c>
      <c r="K446" s="73">
        <f>K468+K495+K505+K535</f>
        <v>1505300</v>
      </c>
      <c r="L446" s="73">
        <f>L468+L505+L535</f>
        <v>274600</v>
      </c>
      <c r="M446" s="73">
        <f>M468+M505+M535</f>
        <v>0</v>
      </c>
    </row>
    <row r="447" spans="1:13" x14ac:dyDescent="0.25">
      <c r="A447" s="59">
        <v>8</v>
      </c>
      <c r="D447" s="7"/>
      <c r="E447" s="72">
        <v>41</v>
      </c>
      <c r="F447" s="72" t="s">
        <v>10</v>
      </c>
      <c r="G447" s="73">
        <f t="shared" ref="G447:M447" si="113">G453+G469+G483+G496+G506+G524+G536+G547</f>
        <v>48692.63</v>
      </c>
      <c r="H447" s="73">
        <f t="shared" si="113"/>
        <v>12262.35</v>
      </c>
      <c r="I447" s="73">
        <f t="shared" si="113"/>
        <v>360450</v>
      </c>
      <c r="J447" s="73">
        <f t="shared" si="113"/>
        <v>279817.53000000003</v>
      </c>
      <c r="K447" s="73">
        <f t="shared" si="113"/>
        <v>409903</v>
      </c>
      <c r="L447" s="73">
        <f t="shared" si="113"/>
        <v>321209</v>
      </c>
      <c r="M447" s="73">
        <f t="shared" si="113"/>
        <v>312279</v>
      </c>
    </row>
    <row r="448" spans="1:13" x14ac:dyDescent="0.25">
      <c r="A448" s="59">
        <v>8</v>
      </c>
      <c r="D448" s="7"/>
      <c r="E448" s="72">
        <v>52</v>
      </c>
      <c r="F448" s="72" t="s">
        <v>13</v>
      </c>
      <c r="G448" s="73">
        <f t="shared" ref="G448:M448" si="114">G454</f>
        <v>0</v>
      </c>
      <c r="H448" s="73">
        <f t="shared" si="114"/>
        <v>0</v>
      </c>
      <c r="I448" s="73">
        <f t="shared" si="114"/>
        <v>0</v>
      </c>
      <c r="J448" s="73">
        <f t="shared" si="114"/>
        <v>0</v>
      </c>
      <c r="K448" s="73">
        <f t="shared" si="114"/>
        <v>60000</v>
      </c>
      <c r="L448" s="73">
        <f t="shared" si="114"/>
        <v>0</v>
      </c>
      <c r="M448" s="73">
        <f t="shared" si="114"/>
        <v>0</v>
      </c>
    </row>
    <row r="449" spans="1:13" x14ac:dyDescent="0.25">
      <c r="A449" s="59">
        <v>8</v>
      </c>
      <c r="D449" s="68"/>
      <c r="E449" s="69"/>
      <c r="F449" s="74" t="s">
        <v>18</v>
      </c>
      <c r="G449" s="75">
        <f t="shared" ref="G449:M449" si="115">SUM(G446:G448)</f>
        <v>48692.63</v>
      </c>
      <c r="H449" s="75">
        <f t="shared" si="115"/>
        <v>22262.35</v>
      </c>
      <c r="I449" s="75">
        <f t="shared" si="115"/>
        <v>360450</v>
      </c>
      <c r="J449" s="75">
        <f t="shared" si="115"/>
        <v>329817.53000000003</v>
      </c>
      <c r="K449" s="75">
        <f t="shared" si="115"/>
        <v>1975203</v>
      </c>
      <c r="L449" s="75">
        <f t="shared" si="115"/>
        <v>595809</v>
      </c>
      <c r="M449" s="75">
        <f t="shared" si="115"/>
        <v>312279</v>
      </c>
    </row>
    <row r="451" spans="1:13" x14ac:dyDescent="0.25">
      <c r="D451" s="76" t="s">
        <v>234</v>
      </c>
      <c r="E451" s="76"/>
      <c r="F451" s="76"/>
      <c r="G451" s="76"/>
      <c r="H451" s="76"/>
      <c r="I451" s="76"/>
      <c r="J451" s="76"/>
      <c r="K451" s="76"/>
      <c r="L451" s="76"/>
      <c r="M451" s="76"/>
    </row>
    <row r="452" spans="1:13" x14ac:dyDescent="0.25">
      <c r="D452" s="131"/>
      <c r="E452" s="63"/>
      <c r="F452" s="63"/>
      <c r="G452" s="63" t="s">
        <v>1</v>
      </c>
      <c r="H452" s="63" t="s">
        <v>2</v>
      </c>
      <c r="I452" s="63" t="s">
        <v>3</v>
      </c>
      <c r="J452" s="63" t="s">
        <v>4</v>
      </c>
      <c r="K452" s="63" t="s">
        <v>5</v>
      </c>
      <c r="L452" s="63" t="s">
        <v>6</v>
      </c>
      <c r="M452" s="63" t="s">
        <v>7</v>
      </c>
    </row>
    <row r="453" spans="1:13" x14ac:dyDescent="0.25">
      <c r="A453" s="59">
        <v>8</v>
      </c>
      <c r="B453" s="59">
        <v>1</v>
      </c>
      <c r="D453" s="5" t="s">
        <v>8</v>
      </c>
      <c r="E453" s="64">
        <v>41</v>
      </c>
      <c r="F453" s="64" t="s">
        <v>10</v>
      </c>
      <c r="G453" s="65">
        <f>G458</f>
        <v>20990.959999999999</v>
      </c>
      <c r="H453" s="65">
        <f>H458</f>
        <v>1081.99</v>
      </c>
      <c r="I453" s="65">
        <f>35000+25000</f>
        <v>60000</v>
      </c>
      <c r="J453" s="65">
        <v>85530.76</v>
      </c>
      <c r="K453" s="65">
        <v>75000</v>
      </c>
      <c r="L453" s="65">
        <v>0</v>
      </c>
      <c r="M453" s="65">
        <f>L453</f>
        <v>0</v>
      </c>
    </row>
    <row r="454" spans="1:13" x14ac:dyDescent="0.25">
      <c r="A454" s="59">
        <v>8</v>
      </c>
      <c r="B454" s="59">
        <v>1</v>
      </c>
      <c r="D454" s="5"/>
      <c r="E454" s="64">
        <v>52</v>
      </c>
      <c r="F454" s="64" t="s">
        <v>13</v>
      </c>
      <c r="G454" s="65">
        <v>0</v>
      </c>
      <c r="H454" s="65">
        <v>0</v>
      </c>
      <c r="I454" s="65">
        <v>0</v>
      </c>
      <c r="J454" s="65">
        <v>0</v>
      </c>
      <c r="K454" s="65">
        <v>60000</v>
      </c>
      <c r="L454" s="65">
        <v>0</v>
      </c>
      <c r="M454" s="65">
        <f>L454</f>
        <v>0</v>
      </c>
    </row>
    <row r="455" spans="1:13" x14ac:dyDescent="0.25">
      <c r="A455" s="59">
        <v>8</v>
      </c>
      <c r="B455" s="59">
        <v>1</v>
      </c>
      <c r="D455" s="68"/>
      <c r="E455" s="69"/>
      <c r="F455" s="66" t="s">
        <v>18</v>
      </c>
      <c r="G455" s="67">
        <f>SUM(G453:G453)</f>
        <v>20990.959999999999</v>
      </c>
      <c r="H455" s="67">
        <f>SUM(H453:H453)</f>
        <v>1081.99</v>
      </c>
      <c r="I455" s="67">
        <f>SUM(I453:I453)</f>
        <v>60000</v>
      </c>
      <c r="J455" s="67">
        <f>SUM(J453:J453)</f>
        <v>85530.76</v>
      </c>
      <c r="K455" s="67">
        <f>SUM(K453:K454)</f>
        <v>135000</v>
      </c>
      <c r="L455" s="67">
        <f>SUM(L453:L453)</f>
        <v>0</v>
      </c>
      <c r="M455" s="67">
        <f>SUM(M453:M453)</f>
        <v>0</v>
      </c>
    </row>
    <row r="457" spans="1:13" x14ac:dyDescent="0.25">
      <c r="D457" s="59" t="s">
        <v>43</v>
      </c>
    </row>
    <row r="458" spans="1:13" x14ac:dyDescent="0.25">
      <c r="D458" s="5" t="s">
        <v>235</v>
      </c>
      <c r="E458" s="85" t="s">
        <v>236</v>
      </c>
      <c r="F458" s="86"/>
      <c r="G458" s="87">
        <v>20990.959999999999</v>
      </c>
      <c r="H458" s="87">
        <v>1081.99</v>
      </c>
      <c r="I458" s="87">
        <v>35000</v>
      </c>
      <c r="J458" s="87">
        <f>SUM(J459:J462)</f>
        <v>55630.759999999995</v>
      </c>
      <c r="K458" s="87">
        <f>SUM(K459:K462)</f>
        <v>45000</v>
      </c>
      <c r="L458" s="87"/>
      <c r="M458" s="88"/>
    </row>
    <row r="459" spans="1:13" x14ac:dyDescent="0.25">
      <c r="D459" s="5"/>
      <c r="E459" s="85" t="s">
        <v>237</v>
      </c>
      <c r="F459" s="86"/>
      <c r="G459" s="87"/>
      <c r="H459" s="87"/>
      <c r="I459" s="87"/>
      <c r="J459" s="87">
        <v>1914.06</v>
      </c>
      <c r="K459" s="87">
        <v>5000</v>
      </c>
      <c r="L459" s="87"/>
      <c r="M459" s="88"/>
    </row>
    <row r="460" spans="1:13" x14ac:dyDescent="0.25">
      <c r="D460" s="5"/>
      <c r="E460" s="85" t="s">
        <v>238</v>
      </c>
      <c r="F460" s="86"/>
      <c r="G460" s="87"/>
      <c r="H460" s="87"/>
      <c r="I460" s="87"/>
      <c r="J460" s="87">
        <f>300+51801.09</f>
        <v>52101.09</v>
      </c>
      <c r="K460" s="87"/>
      <c r="L460" s="87"/>
      <c r="M460" s="88"/>
    </row>
    <row r="461" spans="1:13" x14ac:dyDescent="0.25">
      <c r="D461" s="5"/>
      <c r="E461" s="85" t="s">
        <v>239</v>
      </c>
      <c r="F461" s="86"/>
      <c r="G461" s="87"/>
      <c r="H461" s="87"/>
      <c r="I461" s="87"/>
      <c r="J461" s="87"/>
      <c r="K461" s="87">
        <v>10000</v>
      </c>
      <c r="L461" s="87"/>
      <c r="M461" s="88"/>
    </row>
    <row r="462" spans="1:13" x14ac:dyDescent="0.25">
      <c r="D462" s="5"/>
      <c r="E462" s="85" t="s">
        <v>240</v>
      </c>
      <c r="F462" s="86"/>
      <c r="G462" s="87"/>
      <c r="H462" s="87"/>
      <c r="I462" s="87"/>
      <c r="J462" s="87">
        <f>180+1435.61</f>
        <v>1615.61</v>
      </c>
      <c r="K462" s="87">
        <v>30000</v>
      </c>
      <c r="L462" s="87"/>
      <c r="M462" s="88"/>
    </row>
    <row r="463" spans="1:13" x14ac:dyDescent="0.25">
      <c r="D463" s="5"/>
      <c r="E463" s="85" t="s">
        <v>241</v>
      </c>
      <c r="F463" s="86"/>
      <c r="G463" s="87"/>
      <c r="H463" s="87"/>
      <c r="I463" s="87"/>
      <c r="J463" s="87"/>
      <c r="K463" s="87">
        <v>90000</v>
      </c>
      <c r="L463" s="87"/>
      <c r="M463" s="88"/>
    </row>
    <row r="464" spans="1:13" x14ac:dyDescent="0.25">
      <c r="D464" s="5"/>
      <c r="E464" s="85" t="s">
        <v>242</v>
      </c>
      <c r="F464" s="86"/>
      <c r="G464" s="87"/>
      <c r="H464" s="87"/>
      <c r="I464" s="87">
        <v>25000</v>
      </c>
      <c r="J464" s="87">
        <v>29900</v>
      </c>
      <c r="K464" s="87"/>
      <c r="L464" s="87"/>
      <c r="M464" s="88"/>
    </row>
    <row r="466" spans="1:13" x14ac:dyDescent="0.25">
      <c r="D466" s="76" t="s">
        <v>243</v>
      </c>
      <c r="E466" s="76"/>
      <c r="F466" s="76"/>
      <c r="G466" s="76"/>
      <c r="H466" s="76"/>
      <c r="I466" s="76"/>
      <c r="J466" s="76"/>
      <c r="K466" s="76"/>
      <c r="L466" s="76"/>
      <c r="M466" s="76"/>
    </row>
    <row r="467" spans="1:13" x14ac:dyDescent="0.25">
      <c r="D467" s="131"/>
      <c r="E467" s="63"/>
      <c r="F467" s="63"/>
      <c r="G467" s="63" t="s">
        <v>1</v>
      </c>
      <c r="H467" s="63" t="s">
        <v>2</v>
      </c>
      <c r="I467" s="63" t="s">
        <v>3</v>
      </c>
      <c r="J467" s="63" t="s">
        <v>4</v>
      </c>
      <c r="K467" s="63" t="s">
        <v>5</v>
      </c>
      <c r="L467" s="63" t="s">
        <v>6</v>
      </c>
      <c r="M467" s="63" t="s">
        <v>7</v>
      </c>
    </row>
    <row r="468" spans="1:13" x14ac:dyDescent="0.25">
      <c r="A468" s="59">
        <v>8</v>
      </c>
      <c r="B468" s="59">
        <v>2</v>
      </c>
      <c r="D468" s="132" t="s">
        <v>8</v>
      </c>
      <c r="E468" s="64">
        <v>111</v>
      </c>
      <c r="F468" s="64" t="s">
        <v>130</v>
      </c>
      <c r="G468" s="65">
        <v>0</v>
      </c>
      <c r="H468" s="65">
        <v>0</v>
      </c>
      <c r="I468" s="65">
        <v>0</v>
      </c>
      <c r="J468" s="65">
        <v>50000</v>
      </c>
      <c r="K468" s="65">
        <f>417300</f>
        <v>417300</v>
      </c>
      <c r="L468" s="65">
        <f>L475-L469</f>
        <v>274600</v>
      </c>
      <c r="M468" s="65">
        <v>0</v>
      </c>
    </row>
    <row r="469" spans="1:13" x14ac:dyDescent="0.25">
      <c r="A469" s="59">
        <v>8</v>
      </c>
      <c r="B469" s="59">
        <v>2</v>
      </c>
      <c r="D469" s="132" t="s">
        <v>8</v>
      </c>
      <c r="E469" s="64">
        <v>41</v>
      </c>
      <c r="F469" s="64" t="s">
        <v>10</v>
      </c>
      <c r="G469" s="65">
        <f>SUM(G473:G479)</f>
        <v>13900.369999999999</v>
      </c>
      <c r="H469" s="65">
        <f>SUM(H473:H479)</f>
        <v>2196</v>
      </c>
      <c r="I469" s="65">
        <f>SUM(I473:I479)</f>
        <v>39450</v>
      </c>
      <c r="J469" s="65">
        <f>SUM(J473:J479)-J468</f>
        <v>35244.739999999991</v>
      </c>
      <c r="K469" s="65">
        <f>SUM(K473:K479)-K468</f>
        <v>58431</v>
      </c>
      <c r="L469" s="65">
        <f>46250</f>
        <v>46250</v>
      </c>
      <c r="M469" s="65">
        <f>SUM(M473:M479)</f>
        <v>0</v>
      </c>
    </row>
    <row r="470" spans="1:13" x14ac:dyDescent="0.25">
      <c r="A470" s="59">
        <v>8</v>
      </c>
      <c r="B470" s="59">
        <v>2</v>
      </c>
      <c r="D470" s="68"/>
      <c r="E470" s="69"/>
      <c r="F470" s="66" t="s">
        <v>18</v>
      </c>
      <c r="G470" s="67">
        <f t="shared" ref="G470:M470" si="116">SUM(G468:G469)</f>
        <v>13900.369999999999</v>
      </c>
      <c r="H470" s="67">
        <f t="shared" si="116"/>
        <v>2196</v>
      </c>
      <c r="I470" s="67">
        <f t="shared" si="116"/>
        <v>39450</v>
      </c>
      <c r="J470" s="67">
        <f t="shared" si="116"/>
        <v>85244.739999999991</v>
      </c>
      <c r="K470" s="67">
        <f t="shared" si="116"/>
        <v>475731</v>
      </c>
      <c r="L470" s="67">
        <f t="shared" si="116"/>
        <v>320850</v>
      </c>
      <c r="M470" s="67">
        <f t="shared" si="116"/>
        <v>0</v>
      </c>
    </row>
    <row r="472" spans="1:13" x14ac:dyDescent="0.25">
      <c r="D472" s="59" t="s">
        <v>43</v>
      </c>
    </row>
    <row r="473" spans="1:13" x14ac:dyDescent="0.25">
      <c r="D473" s="5" t="s">
        <v>244</v>
      </c>
      <c r="E473" s="85" t="s">
        <v>245</v>
      </c>
      <c r="F473" s="86"/>
      <c r="G473" s="87">
        <v>3231.29</v>
      </c>
      <c r="H473" s="87"/>
      <c r="I473" s="87"/>
      <c r="J473" s="87">
        <v>11009.2</v>
      </c>
      <c r="K473" s="133">
        <f>417300+20865</f>
        <v>438165</v>
      </c>
      <c r="L473" s="87"/>
      <c r="M473" s="88"/>
    </row>
    <row r="474" spans="1:13" x14ac:dyDescent="0.25">
      <c r="D474" s="5"/>
      <c r="E474" s="85" t="s">
        <v>246</v>
      </c>
      <c r="F474" s="86"/>
      <c r="G474" s="87">
        <v>2262</v>
      </c>
      <c r="H474" s="87"/>
      <c r="I474" s="87"/>
      <c r="J474" s="87"/>
      <c r="K474" s="87"/>
      <c r="L474" s="87"/>
      <c r="M474" s="88"/>
    </row>
    <row r="475" spans="1:13" x14ac:dyDescent="0.25">
      <c r="D475" s="5"/>
      <c r="E475" s="85" t="s">
        <v>247</v>
      </c>
      <c r="F475" s="86"/>
      <c r="G475" s="87"/>
      <c r="H475" s="87">
        <v>2196</v>
      </c>
      <c r="I475" s="87">
        <v>14450</v>
      </c>
      <c r="J475" s="87"/>
      <c r="K475" s="87">
        <v>10000</v>
      </c>
      <c r="L475" s="87">
        <f>274600+46250</f>
        <v>320850</v>
      </c>
      <c r="M475" s="88"/>
    </row>
    <row r="476" spans="1:13" x14ac:dyDescent="0.25">
      <c r="D476" s="5"/>
      <c r="E476" s="85" t="s">
        <v>248</v>
      </c>
      <c r="F476" s="86"/>
      <c r="G476" s="87">
        <v>8407.08</v>
      </c>
      <c r="H476" s="87"/>
      <c r="I476" s="87"/>
      <c r="J476" s="87"/>
      <c r="K476" s="87"/>
      <c r="L476" s="87"/>
      <c r="M476" s="88"/>
    </row>
    <row r="477" spans="1:13" x14ac:dyDescent="0.25">
      <c r="D477" s="5"/>
      <c r="E477" s="134" t="s">
        <v>249</v>
      </c>
      <c r="F477" s="86"/>
      <c r="G477" s="87"/>
      <c r="H477" s="87">
        <v>0</v>
      </c>
      <c r="I477" s="87">
        <v>20000</v>
      </c>
      <c r="J477" s="87">
        <v>73737.539999999994</v>
      </c>
      <c r="K477" s="87"/>
      <c r="L477" s="87"/>
      <c r="M477" s="88"/>
    </row>
    <row r="478" spans="1:13" x14ac:dyDescent="0.25">
      <c r="D478" s="5"/>
      <c r="E478" s="134" t="s">
        <v>250</v>
      </c>
      <c r="F478" s="86"/>
      <c r="G478" s="87"/>
      <c r="H478" s="87"/>
      <c r="I478" s="87">
        <v>5000</v>
      </c>
      <c r="J478" s="87">
        <v>498</v>
      </c>
      <c r="K478" s="87">
        <v>27566</v>
      </c>
      <c r="L478" s="87"/>
      <c r="M478" s="88"/>
    </row>
    <row r="479" spans="1:13" x14ac:dyDescent="0.25">
      <c r="D479" s="5"/>
      <c r="E479" s="134" t="s">
        <v>251</v>
      </c>
      <c r="F479" s="86"/>
      <c r="G479" s="87"/>
      <c r="H479" s="87">
        <v>0</v>
      </c>
      <c r="I479" s="87"/>
      <c r="J479" s="87"/>
      <c r="K479" s="87"/>
      <c r="L479" s="87"/>
      <c r="M479" s="88"/>
    </row>
    <row r="481" spans="1:13" x14ac:dyDescent="0.25">
      <c r="D481" s="76" t="s">
        <v>252</v>
      </c>
      <c r="E481" s="76"/>
      <c r="F481" s="76"/>
      <c r="G481" s="76"/>
      <c r="H481" s="76"/>
      <c r="I481" s="76"/>
      <c r="J481" s="76"/>
      <c r="K481" s="76"/>
      <c r="L481" s="76"/>
      <c r="M481" s="76"/>
    </row>
    <row r="482" spans="1:13" x14ac:dyDescent="0.25">
      <c r="D482" s="131"/>
      <c r="E482" s="63"/>
      <c r="F482" s="63"/>
      <c r="G482" s="63" t="s">
        <v>1</v>
      </c>
      <c r="H482" s="63" t="s">
        <v>2</v>
      </c>
      <c r="I482" s="63" t="s">
        <v>3</v>
      </c>
      <c r="J482" s="63" t="s">
        <v>4</v>
      </c>
      <c r="K482" s="63" t="s">
        <v>5</v>
      </c>
      <c r="L482" s="63" t="s">
        <v>6</v>
      </c>
      <c r="M482" s="63" t="s">
        <v>7</v>
      </c>
    </row>
    <row r="483" spans="1:13" x14ac:dyDescent="0.25">
      <c r="A483" s="59">
        <v>8</v>
      </c>
      <c r="B483" s="59">
        <v>3</v>
      </c>
      <c r="D483" s="132" t="s">
        <v>8</v>
      </c>
      <c r="E483" s="64">
        <v>41</v>
      </c>
      <c r="F483" s="64" t="s">
        <v>10</v>
      </c>
      <c r="G483" s="65">
        <f t="shared" ref="G483:M483" si="117">SUM(G487:G491)</f>
        <v>2285.56</v>
      </c>
      <c r="H483" s="65">
        <f t="shared" si="117"/>
        <v>360.81</v>
      </c>
      <c r="I483" s="65">
        <f t="shared" si="117"/>
        <v>50000</v>
      </c>
      <c r="J483" s="65">
        <f t="shared" si="117"/>
        <v>18466</v>
      </c>
      <c r="K483" s="65">
        <f t="shared" si="117"/>
        <v>0</v>
      </c>
      <c r="L483" s="65">
        <f t="shared" si="117"/>
        <v>0</v>
      </c>
      <c r="M483" s="65">
        <f t="shared" si="117"/>
        <v>312279</v>
      </c>
    </row>
    <row r="484" spans="1:13" x14ac:dyDescent="0.25">
      <c r="A484" s="59">
        <v>8</v>
      </c>
      <c r="B484" s="59">
        <v>3</v>
      </c>
      <c r="D484" s="68"/>
      <c r="E484" s="69"/>
      <c r="F484" s="66" t="s">
        <v>18</v>
      </c>
      <c r="G484" s="67">
        <f t="shared" ref="G484:M484" si="118">SUM(G483:G483)</f>
        <v>2285.56</v>
      </c>
      <c r="H484" s="67">
        <f t="shared" si="118"/>
        <v>360.81</v>
      </c>
      <c r="I484" s="67">
        <f t="shared" si="118"/>
        <v>50000</v>
      </c>
      <c r="J484" s="67">
        <f t="shared" si="118"/>
        <v>18466</v>
      </c>
      <c r="K484" s="67">
        <f t="shared" si="118"/>
        <v>0</v>
      </c>
      <c r="L484" s="67">
        <f t="shared" si="118"/>
        <v>0</v>
      </c>
      <c r="M484" s="67">
        <f t="shared" si="118"/>
        <v>312279</v>
      </c>
    </row>
    <row r="486" spans="1:13" x14ac:dyDescent="0.25">
      <c r="D486" s="59" t="s">
        <v>43</v>
      </c>
    </row>
    <row r="487" spans="1:13" x14ac:dyDescent="0.25">
      <c r="D487" s="5" t="s">
        <v>253</v>
      </c>
      <c r="E487" s="85" t="s">
        <v>254</v>
      </c>
      <c r="F487" s="86"/>
      <c r="G487" s="87">
        <v>2285.56</v>
      </c>
      <c r="H487" s="87"/>
      <c r="I487" s="87"/>
      <c r="J487" s="87"/>
      <c r="K487" s="87"/>
      <c r="L487" s="87"/>
      <c r="M487" s="88">
        <v>312279</v>
      </c>
    </row>
    <row r="488" spans="1:13" x14ac:dyDescent="0.25">
      <c r="D488" s="5"/>
      <c r="E488" s="85" t="s">
        <v>255</v>
      </c>
      <c r="F488" s="86"/>
      <c r="G488" s="87"/>
      <c r="H488" s="87">
        <v>32</v>
      </c>
      <c r="I488" s="87"/>
      <c r="J488" s="87"/>
      <c r="K488" s="87"/>
      <c r="L488" s="87"/>
      <c r="M488" s="88"/>
    </row>
    <row r="489" spans="1:13" x14ac:dyDescent="0.25">
      <c r="D489" s="5"/>
      <c r="E489" s="85" t="s">
        <v>256</v>
      </c>
      <c r="F489" s="86"/>
      <c r="G489" s="87"/>
      <c r="H489" s="87">
        <v>328.81</v>
      </c>
      <c r="I489" s="87"/>
      <c r="J489" s="87"/>
      <c r="K489" s="87"/>
      <c r="L489" s="87"/>
      <c r="M489" s="88"/>
    </row>
    <row r="490" spans="1:13" x14ac:dyDescent="0.25">
      <c r="D490" s="5"/>
      <c r="E490" s="85" t="s">
        <v>257</v>
      </c>
      <c r="F490" s="86"/>
      <c r="G490" s="87"/>
      <c r="H490" s="87"/>
      <c r="I490" s="87">
        <v>20000</v>
      </c>
      <c r="J490" s="87"/>
      <c r="K490" s="87"/>
      <c r="L490" s="87"/>
      <c r="M490" s="88"/>
    </row>
    <row r="491" spans="1:13" x14ac:dyDescent="0.25">
      <c r="D491" s="5"/>
      <c r="E491" s="85" t="s">
        <v>258</v>
      </c>
      <c r="F491" s="86"/>
      <c r="G491" s="87"/>
      <c r="H491" s="87"/>
      <c r="I491" s="87">
        <v>30000</v>
      </c>
      <c r="J491" s="87">
        <v>18466</v>
      </c>
      <c r="K491" s="87"/>
      <c r="L491" s="87"/>
      <c r="M491" s="88"/>
    </row>
    <row r="493" spans="1:13" x14ac:dyDescent="0.25">
      <c r="D493" s="76" t="s">
        <v>259</v>
      </c>
      <c r="E493" s="76"/>
      <c r="F493" s="76"/>
      <c r="G493" s="76"/>
      <c r="H493" s="76"/>
      <c r="I493" s="76"/>
      <c r="J493" s="76"/>
      <c r="K493" s="76"/>
      <c r="L493" s="76"/>
      <c r="M493" s="76"/>
    </row>
    <row r="494" spans="1:13" x14ac:dyDescent="0.25">
      <c r="D494" s="131"/>
      <c r="E494" s="63"/>
      <c r="F494" s="63"/>
      <c r="G494" s="63" t="s">
        <v>1</v>
      </c>
      <c r="H494" s="63" t="s">
        <v>2</v>
      </c>
      <c r="I494" s="63" t="s">
        <v>3</v>
      </c>
      <c r="J494" s="63" t="s">
        <v>4</v>
      </c>
      <c r="K494" s="63" t="s">
        <v>5</v>
      </c>
      <c r="L494" s="63" t="s">
        <v>6</v>
      </c>
      <c r="M494" s="63" t="s">
        <v>7</v>
      </c>
    </row>
    <row r="495" spans="1:13" x14ac:dyDescent="0.25">
      <c r="D495" s="16" t="s">
        <v>8</v>
      </c>
      <c r="E495" s="64">
        <v>111</v>
      </c>
      <c r="F495" s="64" t="s">
        <v>10</v>
      </c>
      <c r="G495" s="65">
        <f>SUM(G499:G499)</f>
        <v>0</v>
      </c>
      <c r="H495" s="65">
        <f>SUM(H499:H499)</f>
        <v>0</v>
      </c>
      <c r="I495" s="65">
        <f>SUM(I499:I499)</f>
        <v>0</v>
      </c>
      <c r="J495" s="65">
        <f>SUM(J499:J499)</f>
        <v>0</v>
      </c>
      <c r="K495" s="65">
        <v>888000</v>
      </c>
      <c r="L495" s="65">
        <f>SUM(L499:L499)</f>
        <v>0</v>
      </c>
      <c r="M495" s="65">
        <f>SUM(M499:M499)</f>
        <v>0</v>
      </c>
    </row>
    <row r="496" spans="1:13" x14ac:dyDescent="0.25">
      <c r="A496" s="59">
        <v>8</v>
      </c>
      <c r="B496" s="59">
        <v>4</v>
      </c>
      <c r="D496" s="16" t="s">
        <v>8</v>
      </c>
      <c r="E496" s="64">
        <v>41</v>
      </c>
      <c r="F496" s="64" t="s">
        <v>10</v>
      </c>
      <c r="G496" s="65">
        <f>SUM(G500:G500)</f>
        <v>0</v>
      </c>
      <c r="H496" s="65">
        <f>SUM(H500:H500)</f>
        <v>1320</v>
      </c>
      <c r="I496" s="65">
        <f>SUM(I500:I500)</f>
        <v>54000</v>
      </c>
      <c r="J496" s="65">
        <v>8528</v>
      </c>
      <c r="K496" s="65">
        <f>SUM(K500:K500)-K495+K501</f>
        <v>55472</v>
      </c>
      <c r="L496" s="65">
        <f>SUM(L500:L500)</f>
        <v>0</v>
      </c>
      <c r="M496" s="65">
        <f>SUM(M500:M500)</f>
        <v>0</v>
      </c>
    </row>
    <row r="497" spans="1:13" x14ac:dyDescent="0.25">
      <c r="A497" s="59">
        <v>8</v>
      </c>
      <c r="B497" s="59">
        <v>4</v>
      </c>
      <c r="D497" s="68"/>
      <c r="E497" s="69"/>
      <c r="F497" s="66" t="s">
        <v>18</v>
      </c>
      <c r="G497" s="67">
        <f>SUM(G496:G496)</f>
        <v>0</v>
      </c>
      <c r="H497" s="67">
        <f>SUM(H496:H496)</f>
        <v>1320</v>
      </c>
      <c r="I497" s="67">
        <f>SUM(I496:I496)</f>
        <v>54000</v>
      </c>
      <c r="J497" s="67">
        <f>SUM(J496:J496)</f>
        <v>8528</v>
      </c>
      <c r="K497" s="67">
        <f>SUM(K495:K496)</f>
        <v>943472</v>
      </c>
      <c r="L497" s="67">
        <f>SUM(L496:L496)</f>
        <v>0</v>
      </c>
      <c r="M497" s="67">
        <f>SUM(M496:M496)</f>
        <v>0</v>
      </c>
    </row>
    <row r="499" spans="1:13" x14ac:dyDescent="0.25">
      <c r="D499" s="59" t="s">
        <v>43</v>
      </c>
    </row>
    <row r="500" spans="1:13" x14ac:dyDescent="0.25">
      <c r="D500" s="5" t="s">
        <v>260</v>
      </c>
      <c r="E500" s="90" t="s">
        <v>82</v>
      </c>
      <c r="F500" s="68"/>
      <c r="G500" s="91"/>
      <c r="H500" s="91">
        <v>1320</v>
      </c>
      <c r="I500" s="91">
        <v>54000</v>
      </c>
      <c r="J500" s="91">
        <v>8528</v>
      </c>
      <c r="K500" s="91">
        <f>888000+45472</f>
        <v>933472</v>
      </c>
      <c r="L500" s="91"/>
      <c r="M500" s="92"/>
    </row>
    <row r="501" spans="1:13" x14ac:dyDescent="0.25">
      <c r="D501" s="5"/>
      <c r="E501" s="98" t="s">
        <v>261</v>
      </c>
      <c r="F501" s="99"/>
      <c r="G501" s="100"/>
      <c r="H501" s="100"/>
      <c r="I501" s="100"/>
      <c r="J501" s="100"/>
      <c r="K501" s="100">
        <f>10000</f>
        <v>10000</v>
      </c>
      <c r="L501" s="100"/>
      <c r="M501" s="101"/>
    </row>
    <row r="503" spans="1:13" x14ac:dyDescent="0.25">
      <c r="D503" s="76" t="s">
        <v>262</v>
      </c>
      <c r="E503" s="76"/>
      <c r="F503" s="76"/>
      <c r="G503" s="76"/>
      <c r="H503" s="76"/>
      <c r="I503" s="76"/>
      <c r="J503" s="76"/>
      <c r="K503" s="76"/>
      <c r="L503" s="76"/>
      <c r="M503" s="76"/>
    </row>
    <row r="504" spans="1:13" x14ac:dyDescent="0.25">
      <c r="D504" s="131"/>
      <c r="E504" s="63"/>
      <c r="F504" s="63"/>
      <c r="G504" s="63" t="s">
        <v>1</v>
      </c>
      <c r="H504" s="63" t="s">
        <v>2</v>
      </c>
      <c r="I504" s="63" t="s">
        <v>3</v>
      </c>
      <c r="J504" s="63" t="s">
        <v>4</v>
      </c>
      <c r="K504" s="63" t="s">
        <v>5</v>
      </c>
      <c r="L504" s="63" t="s">
        <v>6</v>
      </c>
      <c r="M504" s="63" t="s">
        <v>7</v>
      </c>
    </row>
    <row r="505" spans="1:13" x14ac:dyDescent="0.25">
      <c r="A505" s="59">
        <v>8</v>
      </c>
      <c r="B505" s="59">
        <v>5</v>
      </c>
      <c r="D505" s="5" t="s">
        <v>8</v>
      </c>
      <c r="E505" s="64">
        <v>111</v>
      </c>
      <c r="F505" s="64" t="s">
        <v>89</v>
      </c>
      <c r="G505" s="65">
        <v>0</v>
      </c>
      <c r="H505" s="65">
        <f>H519</f>
        <v>10000</v>
      </c>
      <c r="I505" s="65">
        <v>0</v>
      </c>
      <c r="J505" s="65">
        <v>0</v>
      </c>
      <c r="K505" s="65">
        <v>0</v>
      </c>
      <c r="L505" s="65">
        <f>L516</f>
        <v>0</v>
      </c>
      <c r="M505" s="65">
        <v>0</v>
      </c>
    </row>
    <row r="506" spans="1:13" x14ac:dyDescent="0.25">
      <c r="A506" s="59">
        <v>8</v>
      </c>
      <c r="B506" s="59">
        <v>5</v>
      </c>
      <c r="D506" s="5"/>
      <c r="E506" s="64">
        <v>41</v>
      </c>
      <c r="F506" s="64" t="s">
        <v>10</v>
      </c>
      <c r="G506" s="65">
        <f>G510+G512</f>
        <v>6091.74</v>
      </c>
      <c r="H506" s="65">
        <f>H510+H512+H520</f>
        <v>2933.84</v>
      </c>
      <c r="I506" s="65">
        <f>SUM(I510:I520)</f>
        <v>119500</v>
      </c>
      <c r="J506" s="65">
        <f>SUM(J510:J520)</f>
        <v>107956.32</v>
      </c>
      <c r="K506" s="65">
        <f>SUM(K510:K520)</f>
        <v>141000</v>
      </c>
      <c r="L506" s="65">
        <f>SUM(L510:L520)</f>
        <v>274959</v>
      </c>
      <c r="M506" s="65">
        <f>SUM(M510:M520)</f>
        <v>0</v>
      </c>
    </row>
    <row r="507" spans="1:13" x14ac:dyDescent="0.25">
      <c r="D507" s="68"/>
      <c r="E507" s="69"/>
      <c r="F507" s="66" t="s">
        <v>18</v>
      </c>
      <c r="G507" s="67">
        <f t="shared" ref="G507:M507" si="119">SUM(G505:G506)</f>
        <v>6091.74</v>
      </c>
      <c r="H507" s="67">
        <f t="shared" si="119"/>
        <v>12933.84</v>
      </c>
      <c r="I507" s="67">
        <f t="shared" si="119"/>
        <v>119500</v>
      </c>
      <c r="J507" s="67">
        <f t="shared" si="119"/>
        <v>107956.32</v>
      </c>
      <c r="K507" s="67">
        <f t="shared" si="119"/>
        <v>141000</v>
      </c>
      <c r="L507" s="67">
        <f t="shared" si="119"/>
        <v>274959</v>
      </c>
      <c r="M507" s="67">
        <f t="shared" si="119"/>
        <v>0</v>
      </c>
    </row>
    <row r="509" spans="1:13" x14ac:dyDescent="0.25">
      <c r="D509" s="59" t="s">
        <v>43</v>
      </c>
    </row>
    <row r="510" spans="1:13" x14ac:dyDescent="0.25">
      <c r="D510" s="5" t="s">
        <v>263</v>
      </c>
      <c r="E510" s="85" t="s">
        <v>264</v>
      </c>
      <c r="F510" s="86"/>
      <c r="G510" s="87">
        <v>2277.84</v>
      </c>
      <c r="H510" s="87">
        <v>0</v>
      </c>
      <c r="I510" s="87">
        <v>33000</v>
      </c>
      <c r="J510" s="87">
        <v>28371.62</v>
      </c>
      <c r="K510" s="87">
        <v>70000</v>
      </c>
      <c r="L510" s="87"/>
      <c r="M510" s="88"/>
    </row>
    <row r="511" spans="1:13" x14ac:dyDescent="0.25">
      <c r="D511" s="5"/>
      <c r="E511" s="85" t="s">
        <v>265</v>
      </c>
      <c r="F511" s="86"/>
      <c r="G511" s="87"/>
      <c r="H511" s="87"/>
      <c r="I511" s="87"/>
      <c r="J511" s="87"/>
      <c r="K511" s="87"/>
      <c r="L511" s="87"/>
      <c r="M511" s="88"/>
    </row>
    <row r="512" spans="1:13" x14ac:dyDescent="0.25">
      <c r="D512" s="5" t="s">
        <v>266</v>
      </c>
      <c r="E512" s="85" t="s">
        <v>267</v>
      </c>
      <c r="F512" s="86"/>
      <c r="G512" s="87">
        <v>3813.9</v>
      </c>
      <c r="H512" s="87"/>
      <c r="I512" s="87">
        <v>5000</v>
      </c>
      <c r="J512" s="87">
        <v>1000</v>
      </c>
      <c r="K512" s="87">
        <v>1000</v>
      </c>
      <c r="L512" s="87"/>
      <c r="M512" s="88"/>
    </row>
    <row r="513" spans="1:13" x14ac:dyDescent="0.25">
      <c r="D513" s="5"/>
      <c r="E513" s="85" t="s">
        <v>268</v>
      </c>
      <c r="F513" s="86"/>
      <c r="G513" s="87"/>
      <c r="H513" s="87">
        <v>4854.7299999999996</v>
      </c>
      <c r="I513" s="87">
        <v>25000</v>
      </c>
      <c r="J513" s="87">
        <v>33005.1</v>
      </c>
      <c r="K513" s="87">
        <v>30000</v>
      </c>
      <c r="L513" s="87"/>
      <c r="M513" s="88"/>
    </row>
    <row r="514" spans="1:13" x14ac:dyDescent="0.25">
      <c r="D514" s="5"/>
      <c r="E514" s="85" t="s">
        <v>269</v>
      </c>
      <c r="F514" s="86"/>
      <c r="G514" s="87"/>
      <c r="H514" s="87"/>
      <c r="I514" s="87"/>
      <c r="J514" s="87"/>
      <c r="K514" s="87">
        <v>30000</v>
      </c>
      <c r="L514" s="87"/>
      <c r="M514" s="88"/>
    </row>
    <row r="515" spans="1:13" x14ac:dyDescent="0.25">
      <c r="D515" s="5"/>
      <c r="E515" s="85" t="s">
        <v>270</v>
      </c>
      <c r="F515" s="86"/>
      <c r="G515" s="87"/>
      <c r="H515" s="87"/>
      <c r="I515" s="87">
        <v>56500</v>
      </c>
      <c r="J515" s="87">
        <v>45579.6</v>
      </c>
      <c r="K515" s="87">
        <v>10000</v>
      </c>
      <c r="L515" s="87"/>
      <c r="M515" s="88"/>
    </row>
    <row r="516" spans="1:13" x14ac:dyDescent="0.25">
      <c r="D516" s="5"/>
      <c r="E516" s="85" t="s">
        <v>271</v>
      </c>
      <c r="F516" s="86"/>
      <c r="G516" s="87"/>
      <c r="H516" s="87"/>
      <c r="I516" s="87"/>
      <c r="J516" s="87"/>
      <c r="K516" s="87"/>
      <c r="L516" s="87"/>
      <c r="M516" s="88"/>
    </row>
    <row r="517" spans="1:13" x14ac:dyDescent="0.25">
      <c r="D517" s="5"/>
      <c r="E517" s="85" t="s">
        <v>272</v>
      </c>
      <c r="F517" s="86"/>
      <c r="G517" s="87"/>
      <c r="H517" s="87"/>
      <c r="I517" s="87"/>
      <c r="J517" s="87"/>
      <c r="K517" s="87"/>
      <c r="L517" s="87">
        <v>274959</v>
      </c>
      <c r="M517" s="88"/>
    </row>
    <row r="518" spans="1:13" x14ac:dyDescent="0.25">
      <c r="D518" s="135" t="s">
        <v>273</v>
      </c>
      <c r="E518" s="85" t="s">
        <v>274</v>
      </c>
      <c r="F518" s="86"/>
      <c r="G518" s="87"/>
      <c r="H518" s="87"/>
      <c r="I518" s="87"/>
      <c r="J518" s="87"/>
      <c r="K518" s="87"/>
      <c r="L518" s="87"/>
      <c r="M518" s="88"/>
    </row>
    <row r="519" spans="1:13" x14ac:dyDescent="0.25">
      <c r="D519" s="5" t="s">
        <v>275</v>
      </c>
      <c r="E519" s="85" t="s">
        <v>276</v>
      </c>
      <c r="F519" s="86"/>
      <c r="G519" s="87"/>
      <c r="H519" s="87">
        <v>10000</v>
      </c>
      <c r="I519" s="87"/>
      <c r="J519" s="87"/>
      <c r="K519" s="87"/>
      <c r="L519" s="87"/>
      <c r="M519" s="88"/>
    </row>
    <row r="520" spans="1:13" x14ac:dyDescent="0.25">
      <c r="D520" s="5"/>
      <c r="E520" s="134" t="s">
        <v>277</v>
      </c>
      <c r="F520" s="86"/>
      <c r="G520" s="86"/>
      <c r="H520" s="86">
        <v>2933.84</v>
      </c>
      <c r="I520" s="86"/>
      <c r="J520" s="86"/>
      <c r="K520" s="86"/>
      <c r="L520" s="86"/>
      <c r="M520" s="136"/>
    </row>
    <row r="522" spans="1:13" x14ac:dyDescent="0.25">
      <c r="D522" s="76" t="s">
        <v>278</v>
      </c>
      <c r="E522" s="76"/>
      <c r="F522" s="76"/>
      <c r="G522" s="76"/>
      <c r="H522" s="76"/>
      <c r="I522" s="76"/>
      <c r="J522" s="76"/>
      <c r="K522" s="76"/>
      <c r="L522" s="76"/>
      <c r="M522" s="76"/>
    </row>
    <row r="523" spans="1:13" x14ac:dyDescent="0.25">
      <c r="D523" s="131"/>
      <c r="E523" s="63"/>
      <c r="F523" s="63"/>
      <c r="G523" s="63" t="s">
        <v>1</v>
      </c>
      <c r="H523" s="63" t="s">
        <v>2</v>
      </c>
      <c r="I523" s="63" t="s">
        <v>3</v>
      </c>
      <c r="J523" s="63" t="s">
        <v>4</v>
      </c>
      <c r="K523" s="63" t="s">
        <v>5</v>
      </c>
      <c r="L523" s="63" t="s">
        <v>6</v>
      </c>
      <c r="M523" s="63" t="s">
        <v>7</v>
      </c>
    </row>
    <row r="524" spans="1:13" x14ac:dyDescent="0.25">
      <c r="A524" s="59">
        <v>8</v>
      </c>
      <c r="B524" s="59">
        <v>6</v>
      </c>
      <c r="D524" s="132" t="s">
        <v>8</v>
      </c>
      <c r="E524" s="64">
        <v>41</v>
      </c>
      <c r="F524" s="64" t="s">
        <v>10</v>
      </c>
      <c r="G524" s="65">
        <f>SUM(G528:G528)</f>
        <v>0</v>
      </c>
      <c r="H524" s="65">
        <f>SUM(H528:H528)</f>
        <v>400</v>
      </c>
      <c r="I524" s="65">
        <f>SUM(I528:I531)</f>
        <v>31000</v>
      </c>
      <c r="J524" s="65">
        <f>SUM(J528:J531)</f>
        <v>0</v>
      </c>
      <c r="K524" s="65">
        <f>SUM(K528:K531)</f>
        <v>55000</v>
      </c>
      <c r="L524" s="65">
        <f>SUM(L528:L528)</f>
        <v>0</v>
      </c>
      <c r="M524" s="65">
        <f>SUM(M528:M528)</f>
        <v>0</v>
      </c>
    </row>
    <row r="525" spans="1:13" x14ac:dyDescent="0.25">
      <c r="A525" s="59">
        <v>8</v>
      </c>
      <c r="B525" s="59">
        <v>6</v>
      </c>
      <c r="D525" s="68"/>
      <c r="E525" s="69"/>
      <c r="F525" s="66" t="s">
        <v>18</v>
      </c>
      <c r="G525" s="67">
        <f t="shared" ref="G525:M525" si="120">SUM(G524:G524)</f>
        <v>0</v>
      </c>
      <c r="H525" s="67">
        <f t="shared" si="120"/>
        <v>400</v>
      </c>
      <c r="I525" s="67">
        <f t="shared" si="120"/>
        <v>31000</v>
      </c>
      <c r="J525" s="67">
        <f t="shared" si="120"/>
        <v>0</v>
      </c>
      <c r="K525" s="67">
        <f t="shared" si="120"/>
        <v>55000</v>
      </c>
      <c r="L525" s="67">
        <f t="shared" si="120"/>
        <v>0</v>
      </c>
      <c r="M525" s="67">
        <f t="shared" si="120"/>
        <v>0</v>
      </c>
    </row>
    <row r="527" spans="1:13" x14ac:dyDescent="0.25">
      <c r="D527" s="59" t="s">
        <v>43</v>
      </c>
    </row>
    <row r="528" spans="1:13" x14ac:dyDescent="0.25">
      <c r="D528" s="5" t="s">
        <v>279</v>
      </c>
      <c r="E528" s="85" t="s">
        <v>280</v>
      </c>
      <c r="F528" s="86"/>
      <c r="G528" s="87"/>
      <c r="H528" s="87">
        <v>400</v>
      </c>
      <c r="I528" s="87">
        <v>1000</v>
      </c>
      <c r="J528" s="87">
        <v>0</v>
      </c>
      <c r="K528" s="87">
        <v>5000</v>
      </c>
      <c r="L528" s="87"/>
      <c r="M528" s="88"/>
    </row>
    <row r="529" spans="1:15" x14ac:dyDescent="0.25">
      <c r="D529" s="5"/>
      <c r="E529" s="85" t="s">
        <v>281</v>
      </c>
      <c r="F529" s="86"/>
      <c r="G529" s="87"/>
      <c r="H529" s="87"/>
      <c r="I529" s="87"/>
      <c r="J529" s="87"/>
      <c r="K529" s="87">
        <v>20000</v>
      </c>
      <c r="L529" s="87"/>
      <c r="M529" s="88"/>
    </row>
    <row r="530" spans="1:15" x14ac:dyDescent="0.25">
      <c r="D530" s="5"/>
      <c r="E530" s="85" t="s">
        <v>282</v>
      </c>
      <c r="F530" s="86"/>
      <c r="G530" s="87"/>
      <c r="H530" s="87"/>
      <c r="I530" s="87"/>
      <c r="J530" s="87"/>
      <c r="K530" s="87">
        <v>20000</v>
      </c>
      <c r="L530" s="87"/>
      <c r="M530" s="88"/>
    </row>
    <row r="531" spans="1:15" x14ac:dyDescent="0.25">
      <c r="D531" s="5"/>
      <c r="E531" s="85" t="s">
        <v>283</v>
      </c>
      <c r="F531" s="86"/>
      <c r="G531" s="87"/>
      <c r="H531" s="87"/>
      <c r="I531" s="87">
        <v>30000</v>
      </c>
      <c r="J531" s="87">
        <v>0</v>
      </c>
      <c r="K531" s="87">
        <v>10000</v>
      </c>
      <c r="L531" s="87"/>
      <c r="M531" s="88"/>
    </row>
    <row r="533" spans="1:15" x14ac:dyDescent="0.25">
      <c r="D533" s="76" t="s">
        <v>284</v>
      </c>
      <c r="E533" s="76"/>
      <c r="F533" s="76"/>
      <c r="G533" s="76"/>
      <c r="H533" s="76"/>
      <c r="I533" s="76"/>
      <c r="J533" s="76"/>
      <c r="K533" s="76"/>
      <c r="L533" s="76"/>
      <c r="M533" s="76"/>
    </row>
    <row r="534" spans="1:15" x14ac:dyDescent="0.25">
      <c r="D534" s="131"/>
      <c r="E534" s="63"/>
      <c r="F534" s="63"/>
      <c r="G534" s="63" t="s">
        <v>1</v>
      </c>
      <c r="H534" s="63" t="s">
        <v>2</v>
      </c>
      <c r="I534" s="63" t="s">
        <v>3</v>
      </c>
      <c r="J534" s="63" t="s">
        <v>4</v>
      </c>
      <c r="K534" s="63" t="s">
        <v>5</v>
      </c>
      <c r="L534" s="63" t="s">
        <v>6</v>
      </c>
      <c r="M534" s="63" t="s">
        <v>7</v>
      </c>
    </row>
    <row r="535" spans="1:15" x14ac:dyDescent="0.25">
      <c r="A535" s="59">
        <v>8</v>
      </c>
      <c r="B535" s="59">
        <v>7</v>
      </c>
      <c r="D535" s="5" t="s">
        <v>8</v>
      </c>
      <c r="E535" s="64">
        <v>111</v>
      </c>
      <c r="F535" s="64" t="s">
        <v>89</v>
      </c>
      <c r="G535" s="65">
        <v>0</v>
      </c>
      <c r="H535" s="65">
        <v>0</v>
      </c>
      <c r="I535" s="65">
        <v>0</v>
      </c>
      <c r="J535" s="65">
        <v>0</v>
      </c>
      <c r="K535" s="65">
        <v>200000</v>
      </c>
      <c r="L535" s="65">
        <v>0</v>
      </c>
      <c r="M535" s="65">
        <v>0</v>
      </c>
    </row>
    <row r="536" spans="1:15" x14ac:dyDescent="0.25">
      <c r="A536" s="59">
        <v>8</v>
      </c>
      <c r="B536" s="59">
        <v>7</v>
      </c>
      <c r="D536" s="5"/>
      <c r="E536" s="64">
        <v>41</v>
      </c>
      <c r="F536" s="64" t="s">
        <v>10</v>
      </c>
      <c r="G536" s="65">
        <v>0</v>
      </c>
      <c r="H536" s="65">
        <f>H540+H541</f>
        <v>3534.61</v>
      </c>
      <c r="I536" s="65">
        <f>SUM(I540:I543)</f>
        <v>5500</v>
      </c>
      <c r="J536" s="65">
        <f>SUM(J540:J543)</f>
        <v>20971.71</v>
      </c>
      <c r="K536" s="65">
        <f>SUM(K540:K543)-K535</f>
        <v>15000</v>
      </c>
      <c r="L536" s="65">
        <f>SUM(L540:L543)</f>
        <v>0</v>
      </c>
      <c r="M536" s="65">
        <f>SUM(M540:M543)</f>
        <v>0</v>
      </c>
    </row>
    <row r="537" spans="1:15" x14ac:dyDescent="0.25">
      <c r="A537" s="59">
        <v>8</v>
      </c>
      <c r="B537" s="59">
        <v>7</v>
      </c>
      <c r="D537" s="68"/>
      <c r="E537" s="69"/>
      <c r="F537" s="66" t="s">
        <v>18</v>
      </c>
      <c r="G537" s="67">
        <f t="shared" ref="G537:M537" si="121">SUM(G535:G536)</f>
        <v>0</v>
      </c>
      <c r="H537" s="67">
        <f t="shared" si="121"/>
        <v>3534.61</v>
      </c>
      <c r="I537" s="67">
        <f t="shared" si="121"/>
        <v>5500</v>
      </c>
      <c r="J537" s="67">
        <f t="shared" si="121"/>
        <v>20971.71</v>
      </c>
      <c r="K537" s="67">
        <f t="shared" si="121"/>
        <v>215000</v>
      </c>
      <c r="L537" s="67">
        <f t="shared" si="121"/>
        <v>0</v>
      </c>
      <c r="M537" s="67">
        <f t="shared" si="121"/>
        <v>0</v>
      </c>
    </row>
    <row r="539" spans="1:15" x14ac:dyDescent="0.25">
      <c r="D539" s="59" t="s">
        <v>43</v>
      </c>
    </row>
    <row r="540" spans="1:15" x14ac:dyDescent="0.25">
      <c r="D540" s="15" t="s">
        <v>285</v>
      </c>
      <c r="E540" s="85" t="s">
        <v>286</v>
      </c>
      <c r="F540" s="86"/>
      <c r="G540" s="87"/>
      <c r="H540" s="87">
        <v>2534.61</v>
      </c>
      <c r="I540" s="87"/>
      <c r="J540" s="87">
        <v>2588.41</v>
      </c>
      <c r="K540" s="87"/>
      <c r="L540" s="87"/>
      <c r="M540" s="88"/>
    </row>
    <row r="541" spans="1:15" x14ac:dyDescent="0.25">
      <c r="D541" s="15"/>
      <c r="E541" s="85" t="s">
        <v>287</v>
      </c>
      <c r="F541" s="86"/>
      <c r="G541" s="87"/>
      <c r="H541" s="87">
        <v>1000</v>
      </c>
      <c r="I541" s="87"/>
      <c r="J541" s="87"/>
      <c r="K541" s="133"/>
      <c r="L541" s="87"/>
      <c r="M541" s="88"/>
    </row>
    <row r="542" spans="1:15" x14ac:dyDescent="0.25">
      <c r="D542" s="15"/>
      <c r="E542" s="85" t="s">
        <v>288</v>
      </c>
      <c r="F542" s="86"/>
      <c r="G542" s="87"/>
      <c r="H542" s="87"/>
      <c r="I542" s="87"/>
      <c r="J542" s="87"/>
      <c r="K542" s="133">
        <f>200000+10000+5000</f>
        <v>215000</v>
      </c>
      <c r="L542" s="87"/>
      <c r="M542" s="88"/>
      <c r="O542" s="137"/>
    </row>
    <row r="543" spans="1:15" x14ac:dyDescent="0.25">
      <c r="D543" s="15"/>
      <c r="E543" s="85" t="s">
        <v>289</v>
      </c>
      <c r="F543" s="86"/>
      <c r="G543" s="87"/>
      <c r="H543" s="87"/>
      <c r="I543" s="87">
        <v>5500</v>
      </c>
      <c r="J543" s="87">
        <v>18383.3</v>
      </c>
      <c r="K543" s="87"/>
      <c r="L543" s="87"/>
      <c r="M543" s="88"/>
    </row>
    <row r="545" spans="1:13" x14ac:dyDescent="0.25">
      <c r="D545" s="76" t="s">
        <v>290</v>
      </c>
      <c r="E545" s="76"/>
      <c r="F545" s="76"/>
      <c r="G545" s="76"/>
      <c r="H545" s="76"/>
      <c r="I545" s="76"/>
      <c r="J545" s="76"/>
      <c r="K545" s="76"/>
      <c r="L545" s="76"/>
      <c r="M545" s="76"/>
    </row>
    <row r="546" spans="1:13" x14ac:dyDescent="0.25">
      <c r="D546" s="131"/>
      <c r="E546" s="63"/>
      <c r="F546" s="63"/>
      <c r="G546" s="63" t="s">
        <v>1</v>
      </c>
      <c r="H546" s="63" t="s">
        <v>2</v>
      </c>
      <c r="I546" s="63" t="s">
        <v>3</v>
      </c>
      <c r="J546" s="63" t="s">
        <v>4</v>
      </c>
      <c r="K546" s="63" t="s">
        <v>5</v>
      </c>
      <c r="L546" s="63" t="s">
        <v>6</v>
      </c>
      <c r="M546" s="63" t="s">
        <v>7</v>
      </c>
    </row>
    <row r="547" spans="1:13" x14ac:dyDescent="0.25">
      <c r="A547" s="59">
        <v>8</v>
      </c>
      <c r="B547" s="59">
        <v>8</v>
      </c>
      <c r="D547" s="114" t="s">
        <v>8</v>
      </c>
      <c r="E547" s="64">
        <v>41</v>
      </c>
      <c r="F547" s="64" t="s">
        <v>10</v>
      </c>
      <c r="G547" s="65">
        <f t="shared" ref="G547:M547" si="122">G551</f>
        <v>5424</v>
      </c>
      <c r="H547" s="65">
        <f t="shared" si="122"/>
        <v>435.1</v>
      </c>
      <c r="I547" s="65">
        <f t="shared" si="122"/>
        <v>1000</v>
      </c>
      <c r="J547" s="65">
        <f t="shared" si="122"/>
        <v>3120</v>
      </c>
      <c r="K547" s="65">
        <f t="shared" si="122"/>
        <v>10000</v>
      </c>
      <c r="L547" s="65">
        <f t="shared" si="122"/>
        <v>0</v>
      </c>
      <c r="M547" s="65">
        <f t="shared" si="122"/>
        <v>0</v>
      </c>
    </row>
    <row r="548" spans="1:13" x14ac:dyDescent="0.25">
      <c r="A548" s="59">
        <v>8</v>
      </c>
      <c r="B548" s="59">
        <v>8</v>
      </c>
      <c r="D548" s="68"/>
      <c r="E548" s="69"/>
      <c r="F548" s="66" t="s">
        <v>18</v>
      </c>
      <c r="G548" s="67">
        <f t="shared" ref="G548:M548" si="123">SUM(G547)</f>
        <v>5424</v>
      </c>
      <c r="H548" s="67">
        <f t="shared" si="123"/>
        <v>435.1</v>
      </c>
      <c r="I548" s="67">
        <f t="shared" si="123"/>
        <v>1000</v>
      </c>
      <c r="J548" s="67">
        <f t="shared" si="123"/>
        <v>3120</v>
      </c>
      <c r="K548" s="67">
        <f t="shared" si="123"/>
        <v>10000</v>
      </c>
      <c r="L548" s="67">
        <f t="shared" si="123"/>
        <v>0</v>
      </c>
      <c r="M548" s="67">
        <f t="shared" si="123"/>
        <v>0</v>
      </c>
    </row>
    <row r="550" spans="1:13" x14ac:dyDescent="0.25">
      <c r="D550" s="59" t="s">
        <v>43</v>
      </c>
    </row>
    <row r="551" spans="1:13" x14ac:dyDescent="0.25">
      <c r="D551" s="89" t="s">
        <v>291</v>
      </c>
      <c r="E551" s="85" t="s">
        <v>292</v>
      </c>
      <c r="F551" s="86"/>
      <c r="G551" s="87">
        <v>5424</v>
      </c>
      <c r="H551" s="87">
        <v>435.1</v>
      </c>
      <c r="I551" s="87">
        <v>1000</v>
      </c>
      <c r="J551" s="87">
        <v>3120</v>
      </c>
      <c r="K551" s="87">
        <v>10000</v>
      </c>
      <c r="L551" s="87">
        <v>0</v>
      </c>
      <c r="M551" s="88">
        <v>0</v>
      </c>
    </row>
    <row r="553" spans="1:13" x14ac:dyDescent="0.25">
      <c r="D553" s="70" t="s">
        <v>293</v>
      </c>
      <c r="E553" s="70"/>
      <c r="F553" s="70"/>
      <c r="G553" s="70"/>
      <c r="H553" s="70"/>
      <c r="I553" s="70"/>
      <c r="J553" s="70"/>
      <c r="K553" s="70"/>
      <c r="L553" s="70"/>
      <c r="M553" s="70"/>
    </row>
    <row r="554" spans="1:13" x14ac:dyDescent="0.25">
      <c r="D554" s="62"/>
      <c r="E554" s="62"/>
      <c r="F554" s="62"/>
      <c r="G554" s="63" t="s">
        <v>1</v>
      </c>
      <c r="H554" s="63" t="s">
        <v>2</v>
      </c>
      <c r="I554" s="63" t="s">
        <v>3</v>
      </c>
      <c r="J554" s="63" t="s">
        <v>4</v>
      </c>
      <c r="K554" s="63" t="s">
        <v>5</v>
      </c>
      <c r="L554" s="63" t="s">
        <v>6</v>
      </c>
      <c r="M554" s="63" t="s">
        <v>7</v>
      </c>
    </row>
    <row r="555" spans="1:13" x14ac:dyDescent="0.25">
      <c r="A555" s="59">
        <v>9</v>
      </c>
      <c r="D555" s="71" t="s">
        <v>8</v>
      </c>
      <c r="E555" s="72">
        <v>41</v>
      </c>
      <c r="F555" s="72" t="s">
        <v>10</v>
      </c>
      <c r="G555" s="73">
        <f t="shared" ref="G555:M555" si="124">G562</f>
        <v>12858.03</v>
      </c>
      <c r="H555" s="73">
        <f t="shared" si="124"/>
        <v>12851.279999999999</v>
      </c>
      <c r="I555" s="73">
        <f t="shared" si="124"/>
        <v>4284</v>
      </c>
      <c r="J555" s="73">
        <f t="shared" si="124"/>
        <v>4283.76</v>
      </c>
      <c r="K555" s="73">
        <f t="shared" si="124"/>
        <v>20000</v>
      </c>
      <c r="L555" s="73">
        <f t="shared" si="124"/>
        <v>20000</v>
      </c>
      <c r="M555" s="73">
        <f t="shared" si="124"/>
        <v>20000</v>
      </c>
    </row>
    <row r="556" spans="1:13" x14ac:dyDescent="0.25">
      <c r="A556" s="59">
        <v>9</v>
      </c>
      <c r="D556" s="68"/>
      <c r="E556" s="69"/>
      <c r="F556" s="74" t="s">
        <v>18</v>
      </c>
      <c r="G556" s="75">
        <f t="shared" ref="G556:M556" si="125">SUM(G555:G555)</f>
        <v>12858.03</v>
      </c>
      <c r="H556" s="75">
        <f t="shared" si="125"/>
        <v>12851.279999999999</v>
      </c>
      <c r="I556" s="75">
        <f t="shared" si="125"/>
        <v>4284</v>
      </c>
      <c r="J556" s="75">
        <f t="shared" si="125"/>
        <v>4283.76</v>
      </c>
      <c r="K556" s="75">
        <f t="shared" si="125"/>
        <v>20000</v>
      </c>
      <c r="L556" s="75">
        <f t="shared" si="125"/>
        <v>20000</v>
      </c>
      <c r="M556" s="75">
        <f t="shared" si="125"/>
        <v>20000</v>
      </c>
    </row>
    <row r="558" spans="1:13" x14ac:dyDescent="0.25">
      <c r="D558" s="78" t="s">
        <v>294</v>
      </c>
      <c r="E558" s="78"/>
      <c r="F558" s="78"/>
      <c r="G558" s="78"/>
      <c r="H558" s="78"/>
      <c r="I558" s="78"/>
      <c r="J558" s="78"/>
      <c r="K558" s="78"/>
      <c r="L558" s="78"/>
      <c r="M558" s="78"/>
    </row>
    <row r="559" spans="1:13" x14ac:dyDescent="0.25">
      <c r="D559" s="63" t="s">
        <v>20</v>
      </c>
      <c r="E559" s="63" t="s">
        <v>21</v>
      </c>
      <c r="F559" s="63" t="s">
        <v>22</v>
      </c>
      <c r="G559" s="63" t="s">
        <v>1</v>
      </c>
      <c r="H559" s="63" t="s">
        <v>2</v>
      </c>
      <c r="I559" s="63" t="s">
        <v>3</v>
      </c>
      <c r="J559" s="63" t="s">
        <v>4</v>
      </c>
      <c r="K559" s="63" t="s">
        <v>5</v>
      </c>
      <c r="L559" s="63" t="s">
        <v>6</v>
      </c>
      <c r="M559" s="63" t="s">
        <v>7</v>
      </c>
    </row>
    <row r="560" spans="1:13" x14ac:dyDescent="0.25">
      <c r="A560" s="59">
        <v>9</v>
      </c>
      <c r="B560" s="59">
        <v>1</v>
      </c>
      <c r="D560" s="3" t="s">
        <v>104</v>
      </c>
      <c r="E560" s="64">
        <v>650</v>
      </c>
      <c r="F560" s="64" t="s">
        <v>295</v>
      </c>
      <c r="G560" s="65">
        <v>1652.45</v>
      </c>
      <c r="H560" s="65">
        <v>796.97</v>
      </c>
      <c r="I560" s="65">
        <v>65</v>
      </c>
      <c r="J560" s="65">
        <v>64.83</v>
      </c>
      <c r="K560" s="65">
        <v>0</v>
      </c>
      <c r="L560" s="65">
        <v>0</v>
      </c>
      <c r="M560" s="65">
        <v>0</v>
      </c>
    </row>
    <row r="561" spans="1:13" x14ac:dyDescent="0.25">
      <c r="A561" s="59">
        <v>9</v>
      </c>
      <c r="B561" s="59">
        <v>1</v>
      </c>
      <c r="D561" s="3"/>
      <c r="E561" s="64">
        <v>820</v>
      </c>
      <c r="F561" s="64" t="s">
        <v>296</v>
      </c>
      <c r="G561" s="65">
        <v>11205.58</v>
      </c>
      <c r="H561" s="65">
        <v>12054.31</v>
      </c>
      <c r="I561" s="65">
        <v>4219</v>
      </c>
      <c r="J561" s="65">
        <v>4218.93</v>
      </c>
      <c r="K561" s="65">
        <v>20000</v>
      </c>
      <c r="L561" s="65">
        <f>K561</f>
        <v>20000</v>
      </c>
      <c r="M561" s="65">
        <f>L561</f>
        <v>20000</v>
      </c>
    </row>
    <row r="562" spans="1:13" x14ac:dyDescent="0.25">
      <c r="A562" s="59">
        <v>9</v>
      </c>
      <c r="B562" s="59">
        <v>1</v>
      </c>
      <c r="D562" s="81" t="s">
        <v>8</v>
      </c>
      <c r="E562" s="66">
        <v>41</v>
      </c>
      <c r="F562" s="66" t="s">
        <v>10</v>
      </c>
      <c r="G562" s="67">
        <f t="shared" ref="G562:M562" si="126">SUM(G560:G561)</f>
        <v>12858.03</v>
      </c>
      <c r="H562" s="67">
        <f t="shared" si="126"/>
        <v>12851.279999999999</v>
      </c>
      <c r="I562" s="67">
        <f t="shared" si="126"/>
        <v>4284</v>
      </c>
      <c r="J562" s="67">
        <f t="shared" si="126"/>
        <v>4283.76</v>
      </c>
      <c r="K562" s="67">
        <f t="shared" si="126"/>
        <v>20000</v>
      </c>
      <c r="L562" s="67">
        <f t="shared" si="126"/>
        <v>20000</v>
      </c>
      <c r="M562" s="67">
        <f t="shared" si="126"/>
        <v>20000</v>
      </c>
    </row>
  </sheetData>
  <mergeCells count="66">
    <mergeCell ref="D560:D561"/>
    <mergeCell ref="D512:D517"/>
    <mergeCell ref="D519:D520"/>
    <mergeCell ref="D528:D531"/>
    <mergeCell ref="D535:D536"/>
    <mergeCell ref="D540:D543"/>
    <mergeCell ref="D487:D491"/>
    <mergeCell ref="D495:D496"/>
    <mergeCell ref="D500:D501"/>
    <mergeCell ref="D505:D506"/>
    <mergeCell ref="D510:D511"/>
    <mergeCell ref="D438:D440"/>
    <mergeCell ref="D446:D448"/>
    <mergeCell ref="D453:D454"/>
    <mergeCell ref="D458:D464"/>
    <mergeCell ref="D473:D479"/>
    <mergeCell ref="D386:D387"/>
    <mergeCell ref="D392:D393"/>
    <mergeCell ref="D398:D400"/>
    <mergeCell ref="D402:D405"/>
    <mergeCell ref="D434:D436"/>
    <mergeCell ref="D290:D293"/>
    <mergeCell ref="D309:D312"/>
    <mergeCell ref="D332:D333"/>
    <mergeCell ref="D342:D344"/>
    <mergeCell ref="D366:D367"/>
    <mergeCell ref="D236:D237"/>
    <mergeCell ref="D242:D243"/>
    <mergeCell ref="D251:D252"/>
    <mergeCell ref="D271:D272"/>
    <mergeCell ref="D286:D288"/>
    <mergeCell ref="D159:D160"/>
    <mergeCell ref="D162:D165"/>
    <mergeCell ref="D176:D179"/>
    <mergeCell ref="D224:D225"/>
    <mergeCell ref="D230:D231"/>
    <mergeCell ref="D128:D129"/>
    <mergeCell ref="D134:D136"/>
    <mergeCell ref="D138:D141"/>
    <mergeCell ref="D147:D149"/>
    <mergeCell ref="D151:D153"/>
    <mergeCell ref="D106:M106"/>
    <mergeCell ref="D110:D112"/>
    <mergeCell ref="D120:M120"/>
    <mergeCell ref="D122:D123"/>
    <mergeCell ref="D126:M126"/>
    <mergeCell ref="D79:D80"/>
    <mergeCell ref="D83:M83"/>
    <mergeCell ref="D85:D87"/>
    <mergeCell ref="D89:D92"/>
    <mergeCell ref="D96:M96"/>
    <mergeCell ref="D49:D51"/>
    <mergeCell ref="D54:M54"/>
    <mergeCell ref="D65:M65"/>
    <mergeCell ref="D67:D70"/>
    <mergeCell ref="D77:M77"/>
    <mergeCell ref="D29:M29"/>
    <mergeCell ref="D31:D34"/>
    <mergeCell ref="D39:M39"/>
    <mergeCell ref="D41:D44"/>
    <mergeCell ref="D47:M47"/>
    <mergeCell ref="D3:D14"/>
    <mergeCell ref="D17:M17"/>
    <mergeCell ref="D19:D20"/>
    <mergeCell ref="D23:M23"/>
    <mergeCell ref="D25:D26"/>
  </mergeCells>
  <printOptions horizontalCentered="1"/>
  <pageMargins left="0.19685039370078741" right="0.19685039370078741" top="0.43307086614173229" bottom="0.43307086614173229" header="0.31496062992125984" footer="0.31496062992125984"/>
  <pageSetup paperSize="9" scale="85" firstPageNumber="0" orientation="portrait" horizontalDpi="300" verticalDpi="300" r:id="rId1"/>
  <headerFooter>
    <oddHeader>&amp;L&amp;"Arial,Normálne"&amp;10Finančný rozpočet v členení podľa programov&amp;C&amp;"Arial,Normálne"&amp;10Obec Nesluša&amp;R&amp;"Arial,Normálne"&amp;10 2017 - 2019</oddHeader>
    <oddFooter>&amp;L&amp;"Arial,Normálne"&amp;10Príloha č. 1&amp;C&amp;"Arial,Normálne"&amp;10Schválený: UOZ_I-3/2017&amp;R&amp;"Arial,Normálne"&amp;10 03. 03. 2017</oddFooter>
  </headerFooter>
  <rowBreaks count="10" manualBreakCount="10">
    <brk id="125" max="16383" man="1"/>
    <brk id="168" max="16383" man="1"/>
    <brk id="193" max="16383" man="1"/>
    <brk id="221" max="16383" man="1"/>
    <brk id="296" max="16383" man="1"/>
    <brk id="358" max="16383" man="1"/>
    <brk id="383" max="16383" man="1"/>
    <brk id="443" max="16383" man="1"/>
    <brk id="502" max="16383" man="1"/>
    <brk id="552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zoomScaleNormal="100" workbookViewId="0"/>
  </sheetViews>
  <sheetFormatPr defaultRowHeight="15" x14ac:dyDescent="0.25"/>
  <cols>
    <col min="1" max="1" width="8.7109375" style="138" customWidth="1"/>
    <col min="2" max="2" width="17.5703125" style="138" customWidth="1"/>
    <col min="3" max="1025" width="8.5703125" style="138" customWidth="1"/>
  </cols>
  <sheetData>
    <row r="1" spans="1:2" x14ac:dyDescent="0.25">
      <c r="A1" s="138" t="s">
        <v>297</v>
      </c>
      <c r="B1" s="138" t="s">
        <v>298</v>
      </c>
    </row>
    <row r="2" spans="1:2" x14ac:dyDescent="0.25">
      <c r="A2" s="138" t="s">
        <v>1</v>
      </c>
      <c r="B2" s="138" t="s">
        <v>299</v>
      </c>
    </row>
    <row r="3" spans="1:2" x14ac:dyDescent="0.25">
      <c r="A3" s="138" t="s">
        <v>2</v>
      </c>
      <c r="B3" s="138" t="s">
        <v>300</v>
      </c>
    </row>
    <row r="4" spans="1:2" x14ac:dyDescent="0.25">
      <c r="A4" s="138" t="s">
        <v>3</v>
      </c>
      <c r="B4" s="138" t="s">
        <v>301</v>
      </c>
    </row>
    <row r="5" spans="1:2" x14ac:dyDescent="0.25">
      <c r="A5" s="138" t="s">
        <v>4</v>
      </c>
      <c r="B5" s="138" t="s">
        <v>302</v>
      </c>
    </row>
    <row r="6" spans="1:2" x14ac:dyDescent="0.25">
      <c r="A6" s="138" t="s">
        <v>5</v>
      </c>
      <c r="B6" s="138" t="s">
        <v>303</v>
      </c>
    </row>
    <row r="7" spans="1:2" x14ac:dyDescent="0.25">
      <c r="A7" s="138" t="s">
        <v>6</v>
      </c>
      <c r="B7" s="138" t="s">
        <v>304</v>
      </c>
    </row>
    <row r="8" spans="1:2" x14ac:dyDescent="0.25">
      <c r="A8" s="138" t="s">
        <v>7</v>
      </c>
      <c r="B8" s="138" t="s">
        <v>305</v>
      </c>
    </row>
    <row r="9" spans="1:2" x14ac:dyDescent="0.25">
      <c r="A9" s="138" t="s">
        <v>306</v>
      </c>
      <c r="B9" s="138" t="s">
        <v>307</v>
      </c>
    </row>
    <row r="10" spans="1:2" x14ac:dyDescent="0.25">
      <c r="A10" s="138" t="s">
        <v>308</v>
      </c>
      <c r="B10" s="138" t="s">
        <v>309</v>
      </c>
    </row>
    <row r="11" spans="1:2" x14ac:dyDescent="0.25">
      <c r="A11" s="138" t="s">
        <v>310</v>
      </c>
      <c r="B11" s="138" t="s">
        <v>311</v>
      </c>
    </row>
    <row r="12" spans="1:2" x14ac:dyDescent="0.25">
      <c r="A12" s="138" t="s">
        <v>78</v>
      </c>
      <c r="B12" s="138" t="s">
        <v>312</v>
      </c>
    </row>
    <row r="13" spans="1:2" x14ac:dyDescent="0.25">
      <c r="A13" s="138" t="s">
        <v>21</v>
      </c>
      <c r="B13" s="138" t="s">
        <v>313</v>
      </c>
    </row>
    <row r="14" spans="1:2" x14ac:dyDescent="0.25">
      <c r="A14" s="138" t="s">
        <v>314</v>
      </c>
      <c r="B14" s="138" t="s">
        <v>189</v>
      </c>
    </row>
    <row r="15" spans="1:2" x14ac:dyDescent="0.25">
      <c r="A15" s="138" t="s">
        <v>20</v>
      </c>
      <c r="B15" s="138" t="s">
        <v>315</v>
      </c>
    </row>
    <row r="16" spans="1:2" x14ac:dyDescent="0.25">
      <c r="A16" s="138" t="s">
        <v>316</v>
      </c>
      <c r="B16" s="138" t="s">
        <v>317</v>
      </c>
    </row>
    <row r="17" spans="1:2" x14ac:dyDescent="0.25">
      <c r="A17" s="138" t="s">
        <v>318</v>
      </c>
      <c r="B17" s="138" t="s">
        <v>319</v>
      </c>
    </row>
    <row r="18" spans="1:2" x14ac:dyDescent="0.25">
      <c r="A18" s="138" t="s">
        <v>320</v>
      </c>
      <c r="B18" s="138" t="s">
        <v>321</v>
      </c>
    </row>
    <row r="19" spans="1:2" x14ac:dyDescent="0.25">
      <c r="A19" s="138" t="s">
        <v>322</v>
      </c>
      <c r="B19" s="138" t="s">
        <v>323</v>
      </c>
    </row>
    <row r="20" spans="1:2" x14ac:dyDescent="0.25">
      <c r="A20" s="138" t="s">
        <v>95</v>
      </c>
      <c r="B20" s="138" t="s">
        <v>324</v>
      </c>
    </row>
    <row r="21" spans="1:2" x14ac:dyDescent="0.25">
      <c r="A21" s="138" t="s">
        <v>96</v>
      </c>
      <c r="B21" s="138" t="s">
        <v>325</v>
      </c>
    </row>
    <row r="22" spans="1:2" x14ac:dyDescent="0.25">
      <c r="A22" s="138" t="s">
        <v>97</v>
      </c>
      <c r="B22" s="138" t="s">
        <v>326</v>
      </c>
    </row>
    <row r="23" spans="1:2" x14ac:dyDescent="0.25">
      <c r="A23" s="138" t="s">
        <v>41</v>
      </c>
      <c r="B23" s="138" t="s">
        <v>327</v>
      </c>
    </row>
    <row r="24" spans="1:2" x14ac:dyDescent="0.25">
      <c r="A24" s="138" t="s">
        <v>328</v>
      </c>
      <c r="B24" s="138" t="s">
        <v>329</v>
      </c>
    </row>
    <row r="25" spans="1:2" x14ac:dyDescent="0.25">
      <c r="A25" s="138" t="s">
        <v>330</v>
      </c>
      <c r="B25" s="138" t="s">
        <v>331</v>
      </c>
    </row>
    <row r="26" spans="1:2" x14ac:dyDescent="0.25">
      <c r="A26" s="138" t="s">
        <v>332</v>
      </c>
      <c r="B26" s="138" t="s">
        <v>333</v>
      </c>
    </row>
    <row r="27" spans="1:2" x14ac:dyDescent="0.25">
      <c r="A27" s="138" t="s">
        <v>334</v>
      </c>
      <c r="B27" s="138" t="s">
        <v>335</v>
      </c>
    </row>
    <row r="28" spans="1:2" x14ac:dyDescent="0.25">
      <c r="A28" s="138" t="s">
        <v>336</v>
      </c>
      <c r="B28" s="138" t="s">
        <v>337</v>
      </c>
    </row>
  </sheetData>
  <pageMargins left="0.196527777777778" right="0" top="0.13888888888888901" bottom="0.13888888888888901" header="0" footer="0"/>
  <pageSetup paperSize="9" orientation="portrait" useFirstPageNumber="1" horizontalDpi="300" verticalDpi="300" r:id="rId1"/>
  <headerFooter>
    <oddHeader>&amp;C&amp;"Arial,Normálne"&amp;10&amp;A</oddHeader>
    <oddFooter>&amp;C&amp;"Arial,Normálne"&amp;10Strana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653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príjmy</vt:lpstr>
      <vt:lpstr>výdaje</vt:lpstr>
      <vt:lpstr>skratky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Rozpočet 2017 - 2018 Obec Nesluša</dc:title>
  <dc:subject>Schválený rozpočet</dc:subject>
  <dc:creator>Matej Tabaček</dc:creator>
  <cp:keywords>rozpočet 2017 2018 2019 obec Nesluša schválený</cp:keywords>
  <dc:description>Schválený:
UOZ_I-3/2017 dňa 03. 03. 2017
Úpravy návrhu:
1b - zapracované východiskové údaje pre rok 2017 (zverejnené 12. 12. 2016)
2 - použitie rezervného fondu v programe 8 a úpravy v bežnom rozpočte podľa aktualizovaného čerpania
2a - zapracované úpravy zastupiteľstva</dc:description>
  <cp:lastModifiedBy>Matej Tabaček</cp:lastModifiedBy>
  <cp:revision>49</cp:revision>
  <cp:lastPrinted>2017-03-23T09:39:45Z</cp:lastPrinted>
  <dcterms:created xsi:type="dcterms:W3CDTF">2016-11-16T13:19:48Z</dcterms:created>
  <dcterms:modified xsi:type="dcterms:W3CDTF">2017-03-23T09:39:52Z</dcterms:modified>
  <dc:language>sk-SK</dc:language>
</cp:coreProperties>
</file>