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ríjmy" sheetId="1" r:id="rId1"/>
    <sheet name="výdaje" sheetId="2" r:id="rId2"/>
    <sheet name="skratky" sheetId="3" r:id="rId3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Z559" i="2" l="1"/>
  <c r="Y559" i="2"/>
  <c r="W559" i="2"/>
  <c r="U559" i="2"/>
  <c r="S559" i="2"/>
  <c r="Q559" i="2"/>
  <c r="O559" i="2"/>
  <c r="N559" i="2"/>
  <c r="M559" i="2"/>
  <c r="L559" i="2"/>
  <c r="L552" i="2" s="1"/>
  <c r="L553" i="2" s="1"/>
  <c r="K559" i="2"/>
  <c r="J559" i="2"/>
  <c r="I559" i="2"/>
  <c r="H559" i="2"/>
  <c r="G559" i="2"/>
  <c r="X558" i="2"/>
  <c r="T558" i="2"/>
  <c r="P558" i="2"/>
  <c r="V558" i="2" s="1"/>
  <c r="R557" i="2"/>
  <c r="P557" i="2"/>
  <c r="X557" i="2" s="1"/>
  <c r="Z553" i="2"/>
  <c r="Y553" i="2"/>
  <c r="Q553" i="2"/>
  <c r="J553" i="2"/>
  <c r="I553" i="2"/>
  <c r="Z552" i="2"/>
  <c r="Y552" i="2"/>
  <c r="W552" i="2"/>
  <c r="W553" i="2" s="1"/>
  <c r="U552" i="2"/>
  <c r="U553" i="2" s="1"/>
  <c r="S552" i="2"/>
  <c r="Q552" i="2"/>
  <c r="O552" i="2"/>
  <c r="O553" i="2" s="1"/>
  <c r="N552" i="2"/>
  <c r="N553" i="2" s="1"/>
  <c r="M552" i="2"/>
  <c r="M553" i="2" s="1"/>
  <c r="K552" i="2"/>
  <c r="K553" i="2" s="1"/>
  <c r="J552" i="2"/>
  <c r="I552" i="2"/>
  <c r="H552" i="2"/>
  <c r="H553" i="2" s="1"/>
  <c r="G552" i="2"/>
  <c r="G553" i="2" s="1"/>
  <c r="X548" i="2"/>
  <c r="V548" i="2"/>
  <c r="P548" i="2"/>
  <c r="T548" i="2" s="1"/>
  <c r="Y545" i="2"/>
  <c r="W545" i="2"/>
  <c r="Q545" i="2"/>
  <c r="R545" i="2" s="1"/>
  <c r="O545" i="2"/>
  <c r="N545" i="2"/>
  <c r="I545" i="2"/>
  <c r="G545" i="2"/>
  <c r="Z544" i="2"/>
  <c r="Z545" i="2" s="1"/>
  <c r="Y544" i="2"/>
  <c r="W544" i="2"/>
  <c r="X544" i="2" s="1"/>
  <c r="U544" i="2"/>
  <c r="U545" i="2" s="1"/>
  <c r="V545" i="2" s="1"/>
  <c r="S544" i="2"/>
  <c r="S545" i="2" s="1"/>
  <c r="R544" i="2"/>
  <c r="Q544" i="2"/>
  <c r="P544" i="2"/>
  <c r="P545" i="2" s="1"/>
  <c r="O544" i="2"/>
  <c r="N544" i="2"/>
  <c r="M544" i="2"/>
  <c r="M545" i="2" s="1"/>
  <c r="L544" i="2"/>
  <c r="L545" i="2" s="1"/>
  <c r="K544" i="2"/>
  <c r="K545" i="2" s="1"/>
  <c r="J544" i="2"/>
  <c r="J545" i="2" s="1"/>
  <c r="I544" i="2"/>
  <c r="H544" i="2"/>
  <c r="H545" i="2" s="1"/>
  <c r="G544" i="2"/>
  <c r="V540" i="2"/>
  <c r="R540" i="2"/>
  <c r="P540" i="2"/>
  <c r="P532" i="2" s="1"/>
  <c r="P539" i="2"/>
  <c r="X539" i="2" s="1"/>
  <c r="V538" i="2"/>
  <c r="T538" i="2"/>
  <c r="P538" i="2"/>
  <c r="R538" i="2" s="1"/>
  <c r="P537" i="2"/>
  <c r="X537" i="2" s="1"/>
  <c r="X536" i="2"/>
  <c r="T536" i="2"/>
  <c r="P536" i="2"/>
  <c r="V536" i="2" s="1"/>
  <c r="Z533" i="2"/>
  <c r="Y533" i="2"/>
  <c r="U533" i="2"/>
  <c r="M533" i="2"/>
  <c r="H533" i="2"/>
  <c r="G533" i="2"/>
  <c r="W532" i="2"/>
  <c r="U532" i="2"/>
  <c r="V532" i="2" s="1"/>
  <c r="S532" i="2"/>
  <c r="S533" i="2" s="1"/>
  <c r="Q532" i="2"/>
  <c r="Q533" i="2" s="1"/>
  <c r="O532" i="2"/>
  <c r="O533" i="2" s="1"/>
  <c r="N532" i="2"/>
  <c r="N533" i="2" s="1"/>
  <c r="M532" i="2"/>
  <c r="L532" i="2"/>
  <c r="L533" i="2" s="1"/>
  <c r="K532" i="2"/>
  <c r="K533" i="2" s="1"/>
  <c r="J532" i="2"/>
  <c r="J533" i="2" s="1"/>
  <c r="I532" i="2"/>
  <c r="I533" i="2" s="1"/>
  <c r="G532" i="2"/>
  <c r="X531" i="2"/>
  <c r="V531" i="2"/>
  <c r="T531" i="2"/>
  <c r="R531" i="2"/>
  <c r="G531" i="2"/>
  <c r="X527" i="2"/>
  <c r="V527" i="2"/>
  <c r="R527" i="2"/>
  <c r="P527" i="2"/>
  <c r="T527" i="2" s="1"/>
  <c r="V526" i="2"/>
  <c r="R526" i="2"/>
  <c r="P526" i="2"/>
  <c r="X526" i="2" s="1"/>
  <c r="P525" i="2"/>
  <c r="X525" i="2" s="1"/>
  <c r="Y522" i="2"/>
  <c r="S522" i="2"/>
  <c r="Q522" i="2"/>
  <c r="N522" i="2"/>
  <c r="K522" i="2"/>
  <c r="I522" i="2"/>
  <c r="H522" i="2"/>
  <c r="Z521" i="2"/>
  <c r="Z522" i="2" s="1"/>
  <c r="Y521" i="2"/>
  <c r="W521" i="2"/>
  <c r="W522" i="2" s="1"/>
  <c r="U521" i="2"/>
  <c r="U522" i="2" s="1"/>
  <c r="S521" i="2"/>
  <c r="Q521" i="2"/>
  <c r="O521" i="2"/>
  <c r="O522" i="2" s="1"/>
  <c r="N521" i="2"/>
  <c r="M521" i="2"/>
  <c r="M522" i="2" s="1"/>
  <c r="L521" i="2"/>
  <c r="L522" i="2" s="1"/>
  <c r="K521" i="2"/>
  <c r="J521" i="2"/>
  <c r="J522" i="2" s="1"/>
  <c r="I521" i="2"/>
  <c r="H521" i="2"/>
  <c r="G521" i="2"/>
  <c r="G522" i="2" s="1"/>
  <c r="V517" i="2"/>
  <c r="T517" i="2"/>
  <c r="P517" i="2"/>
  <c r="R517" i="2" s="1"/>
  <c r="P516" i="2"/>
  <c r="X516" i="2" s="1"/>
  <c r="X515" i="2"/>
  <c r="T515" i="2"/>
  <c r="P515" i="2"/>
  <c r="V515" i="2" s="1"/>
  <c r="X514" i="2"/>
  <c r="T514" i="2"/>
  <c r="R514" i="2"/>
  <c r="P514" i="2"/>
  <c r="V514" i="2" s="1"/>
  <c r="X513" i="2"/>
  <c r="V513" i="2"/>
  <c r="T513" i="2"/>
  <c r="R513" i="2"/>
  <c r="P513" i="2"/>
  <c r="X512" i="2"/>
  <c r="V512" i="2"/>
  <c r="R512" i="2"/>
  <c r="P512" i="2"/>
  <c r="T512" i="2" s="1"/>
  <c r="V511" i="2"/>
  <c r="R511" i="2"/>
  <c r="P511" i="2"/>
  <c r="X511" i="2" s="1"/>
  <c r="P510" i="2"/>
  <c r="X510" i="2" s="1"/>
  <c r="V509" i="2"/>
  <c r="T509" i="2"/>
  <c r="P509" i="2"/>
  <c r="R509" i="2" s="1"/>
  <c r="P508" i="2"/>
  <c r="X508" i="2" s="1"/>
  <c r="X507" i="2"/>
  <c r="T507" i="2"/>
  <c r="P507" i="2"/>
  <c r="V507" i="2" s="1"/>
  <c r="Z504" i="2"/>
  <c r="W504" i="2"/>
  <c r="U504" i="2"/>
  <c r="O504" i="2"/>
  <c r="M504" i="2"/>
  <c r="J504" i="2"/>
  <c r="H504" i="2"/>
  <c r="G504" i="2"/>
  <c r="Z503" i="2"/>
  <c r="Y503" i="2"/>
  <c r="W503" i="2"/>
  <c r="U503" i="2"/>
  <c r="S503" i="2"/>
  <c r="S504" i="2" s="1"/>
  <c r="Q503" i="2"/>
  <c r="O503" i="2"/>
  <c r="N503" i="2"/>
  <c r="N504" i="2" s="1"/>
  <c r="M503" i="2"/>
  <c r="L503" i="2"/>
  <c r="L504" i="2" s="1"/>
  <c r="K503" i="2"/>
  <c r="K504" i="2" s="1"/>
  <c r="J503" i="2"/>
  <c r="I503" i="2"/>
  <c r="H503" i="2"/>
  <c r="G503" i="2"/>
  <c r="Y502" i="2"/>
  <c r="Y504" i="2" s="1"/>
  <c r="V502" i="2"/>
  <c r="T502" i="2"/>
  <c r="P502" i="2"/>
  <c r="R502" i="2" s="1"/>
  <c r="J502" i="2"/>
  <c r="I502" i="2"/>
  <c r="I504" i="2" s="1"/>
  <c r="X498" i="2"/>
  <c r="V498" i="2"/>
  <c r="T498" i="2"/>
  <c r="R498" i="2"/>
  <c r="P498" i="2"/>
  <c r="Z495" i="2"/>
  <c r="W495" i="2"/>
  <c r="U495" i="2"/>
  <c r="O495" i="2"/>
  <c r="M495" i="2"/>
  <c r="L495" i="2"/>
  <c r="J495" i="2"/>
  <c r="G495" i="2"/>
  <c r="Z494" i="2"/>
  <c r="Y494" i="2"/>
  <c r="Y495" i="2" s="1"/>
  <c r="W494" i="2"/>
  <c r="U494" i="2"/>
  <c r="S494" i="2"/>
  <c r="S495" i="2" s="1"/>
  <c r="Q494" i="2"/>
  <c r="Q495" i="2" s="1"/>
  <c r="P494" i="2"/>
  <c r="V494" i="2" s="1"/>
  <c r="O494" i="2"/>
  <c r="N494" i="2"/>
  <c r="N495" i="2" s="1"/>
  <c r="M494" i="2"/>
  <c r="L494" i="2"/>
  <c r="K494" i="2"/>
  <c r="K495" i="2" s="1"/>
  <c r="J494" i="2"/>
  <c r="I494" i="2"/>
  <c r="I495" i="2" s="1"/>
  <c r="H494" i="2"/>
  <c r="H495" i="2" s="1"/>
  <c r="G494" i="2"/>
  <c r="X490" i="2"/>
  <c r="V490" i="2"/>
  <c r="T490" i="2"/>
  <c r="R490" i="2"/>
  <c r="P490" i="2"/>
  <c r="X489" i="2"/>
  <c r="V489" i="2"/>
  <c r="R489" i="2"/>
  <c r="P489" i="2"/>
  <c r="T489" i="2" s="1"/>
  <c r="V488" i="2"/>
  <c r="R488" i="2"/>
  <c r="P488" i="2"/>
  <c r="X488" i="2" s="1"/>
  <c r="P487" i="2"/>
  <c r="X487" i="2" s="1"/>
  <c r="V486" i="2"/>
  <c r="P486" i="2"/>
  <c r="R486" i="2" s="1"/>
  <c r="P485" i="2"/>
  <c r="X485" i="2" s="1"/>
  <c r="Z482" i="2"/>
  <c r="U482" i="2"/>
  <c r="S482" i="2"/>
  <c r="M482" i="2"/>
  <c r="K482" i="2"/>
  <c r="J482" i="2"/>
  <c r="H482" i="2"/>
  <c r="Z481" i="2"/>
  <c r="Y481" i="2"/>
  <c r="Y482" i="2" s="1"/>
  <c r="W481" i="2"/>
  <c r="W482" i="2" s="1"/>
  <c r="U481" i="2"/>
  <c r="S481" i="2"/>
  <c r="Q481" i="2"/>
  <c r="Q482" i="2" s="1"/>
  <c r="O481" i="2"/>
  <c r="O482" i="2" s="1"/>
  <c r="N481" i="2"/>
  <c r="N482" i="2" s="1"/>
  <c r="M481" i="2"/>
  <c r="L481" i="2"/>
  <c r="L482" i="2" s="1"/>
  <c r="K481" i="2"/>
  <c r="J481" i="2"/>
  <c r="I481" i="2"/>
  <c r="I482" i="2" s="1"/>
  <c r="H481" i="2"/>
  <c r="G481" i="2"/>
  <c r="G482" i="2" s="1"/>
  <c r="X477" i="2"/>
  <c r="T477" i="2"/>
  <c r="P477" i="2"/>
  <c r="V477" i="2" s="1"/>
  <c r="X476" i="2"/>
  <c r="T476" i="2"/>
  <c r="R476" i="2"/>
  <c r="P476" i="2"/>
  <c r="V476" i="2" s="1"/>
  <c r="N475" i="2"/>
  <c r="N464" i="2" s="1"/>
  <c r="N465" i="2" s="1"/>
  <c r="X474" i="2"/>
  <c r="T474" i="2"/>
  <c r="P474" i="2"/>
  <c r="V474" i="2" s="1"/>
  <c r="X473" i="2"/>
  <c r="V473" i="2"/>
  <c r="T473" i="2"/>
  <c r="R473" i="2"/>
  <c r="P473" i="2"/>
  <c r="X472" i="2"/>
  <c r="V472" i="2"/>
  <c r="T472" i="2"/>
  <c r="R472" i="2"/>
  <c r="P472" i="2"/>
  <c r="X471" i="2"/>
  <c r="V471" i="2"/>
  <c r="R471" i="2"/>
  <c r="P471" i="2"/>
  <c r="T471" i="2" s="1"/>
  <c r="V470" i="2"/>
  <c r="R470" i="2"/>
  <c r="P470" i="2"/>
  <c r="X470" i="2" s="1"/>
  <c r="P469" i="2"/>
  <c r="X469" i="2" s="1"/>
  <c r="V468" i="2"/>
  <c r="T468" i="2"/>
  <c r="P468" i="2"/>
  <c r="R468" i="2" s="1"/>
  <c r="U465" i="2"/>
  <c r="S465" i="2"/>
  <c r="M465" i="2"/>
  <c r="K465" i="2"/>
  <c r="H465" i="2"/>
  <c r="Z464" i="2"/>
  <c r="Z465" i="2" s="1"/>
  <c r="Y464" i="2"/>
  <c r="Y465" i="2" s="1"/>
  <c r="W464" i="2"/>
  <c r="U464" i="2"/>
  <c r="S464" i="2"/>
  <c r="Q464" i="2"/>
  <c r="Q465" i="2" s="1"/>
  <c r="O464" i="2"/>
  <c r="O465" i="2" s="1"/>
  <c r="M464" i="2"/>
  <c r="L464" i="2"/>
  <c r="L465" i="2" s="1"/>
  <c r="K464" i="2"/>
  <c r="J464" i="2"/>
  <c r="J465" i="2" s="1"/>
  <c r="I464" i="2"/>
  <c r="I465" i="2" s="1"/>
  <c r="H464" i="2"/>
  <c r="G464" i="2"/>
  <c r="G465" i="2" s="1"/>
  <c r="P463" i="2"/>
  <c r="X459" i="2"/>
  <c r="T459" i="2"/>
  <c r="P459" i="2"/>
  <c r="V459" i="2" s="1"/>
  <c r="X458" i="2"/>
  <c r="V458" i="2"/>
  <c r="T458" i="2"/>
  <c r="R458" i="2"/>
  <c r="P458" i="2"/>
  <c r="X457" i="2"/>
  <c r="V457" i="2"/>
  <c r="T457" i="2"/>
  <c r="R457" i="2"/>
  <c r="P457" i="2"/>
  <c r="X456" i="2"/>
  <c r="V456" i="2"/>
  <c r="R456" i="2"/>
  <c r="P456" i="2"/>
  <c r="T456" i="2" s="1"/>
  <c r="V455" i="2"/>
  <c r="R455" i="2"/>
  <c r="P455" i="2"/>
  <c r="X455" i="2" s="1"/>
  <c r="P454" i="2"/>
  <c r="X454" i="2" s="1"/>
  <c r="Z451" i="2"/>
  <c r="Y451" i="2"/>
  <c r="U451" i="2"/>
  <c r="S451" i="2"/>
  <c r="Q451" i="2"/>
  <c r="O451" i="2"/>
  <c r="N451" i="2"/>
  <c r="M451" i="2"/>
  <c r="L451" i="2"/>
  <c r="K451" i="2"/>
  <c r="I451" i="2"/>
  <c r="H451" i="2"/>
  <c r="X450" i="2"/>
  <c r="V450" i="2"/>
  <c r="T450" i="2"/>
  <c r="R450" i="2"/>
  <c r="P450" i="2"/>
  <c r="P444" i="2" s="1"/>
  <c r="T444" i="2" s="1"/>
  <c r="G450" i="2"/>
  <c r="G444" i="2" s="1"/>
  <c r="W449" i="2"/>
  <c r="W451" i="2" s="1"/>
  <c r="P449" i="2"/>
  <c r="V449" i="2" s="1"/>
  <c r="K449" i="2"/>
  <c r="J449" i="2"/>
  <c r="I449" i="2"/>
  <c r="H449" i="2"/>
  <c r="G449" i="2"/>
  <c r="G451" i="2" s="1"/>
  <c r="Z444" i="2"/>
  <c r="Y444" i="2"/>
  <c r="W444" i="2"/>
  <c r="X444" i="2" s="1"/>
  <c r="U444" i="2"/>
  <c r="V444" i="2" s="1"/>
  <c r="S444" i="2"/>
  <c r="R444" i="2"/>
  <c r="Q444" i="2"/>
  <c r="O444" i="2"/>
  <c r="N444" i="2"/>
  <c r="M444" i="2"/>
  <c r="L444" i="2"/>
  <c r="K444" i="2"/>
  <c r="J444" i="2"/>
  <c r="I444" i="2"/>
  <c r="H444" i="2"/>
  <c r="U443" i="2"/>
  <c r="S443" i="2"/>
  <c r="Q443" i="2"/>
  <c r="N443" i="2"/>
  <c r="N445" i="2" s="1"/>
  <c r="M443" i="2"/>
  <c r="K443" i="2"/>
  <c r="I443" i="2"/>
  <c r="H443" i="2"/>
  <c r="H445" i="2" s="1"/>
  <c r="Z442" i="2"/>
  <c r="Y442" i="2"/>
  <c r="W442" i="2"/>
  <c r="U442" i="2"/>
  <c r="S442" i="2"/>
  <c r="S445" i="2" s="1"/>
  <c r="Q442" i="2"/>
  <c r="Q445" i="2" s="1"/>
  <c r="O442" i="2"/>
  <c r="N442" i="2"/>
  <c r="M442" i="2"/>
  <c r="M445" i="2" s="1"/>
  <c r="L442" i="2"/>
  <c r="K442" i="2"/>
  <c r="K445" i="2" s="1"/>
  <c r="J442" i="2"/>
  <c r="I442" i="2"/>
  <c r="I445" i="2" s="1"/>
  <c r="H442" i="2"/>
  <c r="G442" i="2"/>
  <c r="N438" i="2"/>
  <c r="Z437" i="2"/>
  <c r="Y437" i="2"/>
  <c r="W437" i="2"/>
  <c r="U437" i="2"/>
  <c r="S437" i="2"/>
  <c r="Q437" i="2"/>
  <c r="N437" i="2"/>
  <c r="M437" i="2"/>
  <c r="L437" i="2"/>
  <c r="K437" i="2"/>
  <c r="J437" i="2"/>
  <c r="I437" i="2"/>
  <c r="H437" i="2"/>
  <c r="G437" i="2"/>
  <c r="P436" i="2"/>
  <c r="O436" i="2"/>
  <c r="O437" i="2" s="1"/>
  <c r="P435" i="2"/>
  <c r="X435" i="2" s="1"/>
  <c r="V434" i="2"/>
  <c r="P434" i="2"/>
  <c r="W433" i="2"/>
  <c r="W438" i="2" s="1"/>
  <c r="U433" i="2"/>
  <c r="U438" i="2" s="1"/>
  <c r="S433" i="2"/>
  <c r="Q433" i="2"/>
  <c r="O433" i="2"/>
  <c r="O438" i="2" s="1"/>
  <c r="N433" i="2"/>
  <c r="M433" i="2"/>
  <c r="M438" i="2" s="1"/>
  <c r="L433" i="2"/>
  <c r="L438" i="2" s="1"/>
  <c r="K433" i="2"/>
  <c r="K438" i="2" s="1"/>
  <c r="J433" i="2"/>
  <c r="J438" i="2" s="1"/>
  <c r="I433" i="2"/>
  <c r="I438" i="2" s="1"/>
  <c r="H433" i="2"/>
  <c r="H438" i="2" s="1"/>
  <c r="G433" i="2"/>
  <c r="G438" i="2" s="1"/>
  <c r="Z432" i="2"/>
  <c r="Y432" i="2"/>
  <c r="P432" i="2"/>
  <c r="X432" i="2" s="1"/>
  <c r="Y431" i="2"/>
  <c r="P431" i="2"/>
  <c r="V431" i="2" s="1"/>
  <c r="Z430" i="2"/>
  <c r="Y430" i="2"/>
  <c r="X430" i="2"/>
  <c r="V430" i="2"/>
  <c r="R430" i="2"/>
  <c r="P430" i="2"/>
  <c r="T430" i="2" s="1"/>
  <c r="W426" i="2"/>
  <c r="Q426" i="2"/>
  <c r="O426" i="2"/>
  <c r="I426" i="2"/>
  <c r="W425" i="2"/>
  <c r="U425" i="2"/>
  <c r="S425" i="2"/>
  <c r="Q425" i="2"/>
  <c r="O425" i="2"/>
  <c r="N425" i="2"/>
  <c r="N426" i="2" s="1"/>
  <c r="M425" i="2"/>
  <c r="L425" i="2"/>
  <c r="K425" i="2"/>
  <c r="K426" i="2" s="1"/>
  <c r="J425" i="2"/>
  <c r="I425" i="2"/>
  <c r="H425" i="2"/>
  <c r="G425" i="2"/>
  <c r="Y424" i="2"/>
  <c r="Z424" i="2" s="1"/>
  <c r="V424" i="2"/>
  <c r="P424" i="2"/>
  <c r="R424" i="2" s="1"/>
  <c r="Y423" i="2"/>
  <c r="X423" i="2"/>
  <c r="V423" i="2"/>
  <c r="T423" i="2"/>
  <c r="R423" i="2"/>
  <c r="P423" i="2"/>
  <c r="Z422" i="2"/>
  <c r="W422" i="2"/>
  <c r="X422" i="2" s="1"/>
  <c r="U422" i="2"/>
  <c r="S422" i="2"/>
  <c r="Q422" i="2"/>
  <c r="P422" i="2"/>
  <c r="T422" i="2" s="1"/>
  <c r="O422" i="2"/>
  <c r="N422" i="2"/>
  <c r="M422" i="2"/>
  <c r="L422" i="2"/>
  <c r="L426" i="2" s="1"/>
  <c r="K422" i="2"/>
  <c r="J422" i="2"/>
  <c r="J426" i="2" s="1"/>
  <c r="I422" i="2"/>
  <c r="H422" i="2"/>
  <c r="H426" i="2" s="1"/>
  <c r="G422" i="2"/>
  <c r="G426" i="2" s="1"/>
  <c r="Y421" i="2"/>
  <c r="Z421" i="2" s="1"/>
  <c r="X421" i="2"/>
  <c r="T421" i="2"/>
  <c r="P421" i="2"/>
  <c r="Z420" i="2"/>
  <c r="Y420" i="2"/>
  <c r="Y422" i="2" s="1"/>
  <c r="X420" i="2"/>
  <c r="V420" i="2"/>
  <c r="R420" i="2"/>
  <c r="P420" i="2"/>
  <c r="T420" i="2" s="1"/>
  <c r="Z416" i="2"/>
  <c r="Y416" i="2"/>
  <c r="P416" i="2"/>
  <c r="V416" i="2" s="1"/>
  <c r="K416" i="2"/>
  <c r="Y414" i="2"/>
  <c r="W414" i="2"/>
  <c r="U414" i="2"/>
  <c r="S414" i="2"/>
  <c r="Q414" i="2"/>
  <c r="O414" i="2"/>
  <c r="N414" i="2"/>
  <c r="M414" i="2"/>
  <c r="L414" i="2"/>
  <c r="K414" i="2"/>
  <c r="J414" i="2"/>
  <c r="I414" i="2"/>
  <c r="H414" i="2"/>
  <c r="G414" i="2"/>
  <c r="Z413" i="2"/>
  <c r="Z414" i="2" s="1"/>
  <c r="Z392" i="2" s="1"/>
  <c r="Y413" i="2"/>
  <c r="X413" i="2"/>
  <c r="T413" i="2"/>
  <c r="R413" i="2"/>
  <c r="P413" i="2"/>
  <c r="V413" i="2" s="1"/>
  <c r="X409" i="2"/>
  <c r="V409" i="2"/>
  <c r="R409" i="2"/>
  <c r="P409" i="2"/>
  <c r="T409" i="2" s="1"/>
  <c r="Z408" i="2"/>
  <c r="Y408" i="2"/>
  <c r="X408" i="2"/>
  <c r="P408" i="2"/>
  <c r="R408" i="2" s="1"/>
  <c r="Q406" i="2"/>
  <c r="M406" i="2"/>
  <c r="I406" i="2"/>
  <c r="H406" i="2"/>
  <c r="Z405" i="2"/>
  <c r="Y405" i="2"/>
  <c r="W405" i="2"/>
  <c r="W392" i="2" s="1"/>
  <c r="U405" i="2"/>
  <c r="S405" i="2"/>
  <c r="S392" i="2" s="1"/>
  <c r="Q405" i="2"/>
  <c r="O405" i="2"/>
  <c r="N405" i="2"/>
  <c r="N392" i="2" s="1"/>
  <c r="N386" i="2" s="1"/>
  <c r="M405" i="2"/>
  <c r="L405" i="2"/>
  <c r="K405" i="2"/>
  <c r="K392" i="2" s="1"/>
  <c r="K386" i="2" s="1"/>
  <c r="J405" i="2"/>
  <c r="J392" i="2" s="1"/>
  <c r="J386" i="2" s="1"/>
  <c r="I405" i="2"/>
  <c r="H405" i="2"/>
  <c r="G405" i="2"/>
  <c r="X404" i="2"/>
  <c r="P404" i="2"/>
  <c r="V404" i="2" s="1"/>
  <c r="P403" i="2"/>
  <c r="V403" i="2" s="1"/>
  <c r="T402" i="2"/>
  <c r="R402" i="2"/>
  <c r="P402" i="2"/>
  <c r="X402" i="2" s="1"/>
  <c r="T401" i="2"/>
  <c r="Q401" i="2"/>
  <c r="R401" i="2" s="1"/>
  <c r="P401" i="2"/>
  <c r="X401" i="2" s="1"/>
  <c r="Z400" i="2"/>
  <c r="Z406" i="2" s="1"/>
  <c r="Y400" i="2"/>
  <c r="Y406" i="2" s="1"/>
  <c r="W400" i="2"/>
  <c r="W406" i="2" s="1"/>
  <c r="U400" i="2"/>
  <c r="U406" i="2" s="1"/>
  <c r="S400" i="2"/>
  <c r="S406" i="2" s="1"/>
  <c r="Q400" i="2"/>
  <c r="O400" i="2"/>
  <c r="O406" i="2" s="1"/>
  <c r="N400" i="2"/>
  <c r="N391" i="2" s="1"/>
  <c r="M400" i="2"/>
  <c r="L400" i="2"/>
  <c r="L406" i="2" s="1"/>
  <c r="K400" i="2"/>
  <c r="K406" i="2" s="1"/>
  <c r="J400" i="2"/>
  <c r="J406" i="2" s="1"/>
  <c r="I400" i="2"/>
  <c r="H400" i="2"/>
  <c r="G400" i="2"/>
  <c r="G406" i="2" s="1"/>
  <c r="X399" i="2"/>
  <c r="P399" i="2"/>
  <c r="V399" i="2" s="1"/>
  <c r="X398" i="2"/>
  <c r="V398" i="2"/>
  <c r="T398" i="2"/>
  <c r="R398" i="2"/>
  <c r="P398" i="2"/>
  <c r="V397" i="2"/>
  <c r="T397" i="2"/>
  <c r="R397" i="2"/>
  <c r="P397" i="2"/>
  <c r="X397" i="2" s="1"/>
  <c r="Y392" i="2"/>
  <c r="U392" i="2"/>
  <c r="Q392" i="2"/>
  <c r="O392" i="2"/>
  <c r="M392" i="2"/>
  <c r="L392" i="2"/>
  <c r="I392" i="2"/>
  <c r="H392" i="2"/>
  <c r="H386" i="2" s="1"/>
  <c r="G392" i="2"/>
  <c r="Y391" i="2"/>
  <c r="Y393" i="2" s="1"/>
  <c r="W391" i="2"/>
  <c r="U391" i="2"/>
  <c r="Q391" i="2"/>
  <c r="Q393" i="2" s="1"/>
  <c r="O391" i="2"/>
  <c r="O393" i="2" s="1"/>
  <c r="M391" i="2"/>
  <c r="M393" i="2" s="1"/>
  <c r="L391" i="2"/>
  <c r="L385" i="2" s="1"/>
  <c r="L387" i="2" s="1"/>
  <c r="I391" i="2"/>
  <c r="I393" i="2" s="1"/>
  <c r="H391" i="2"/>
  <c r="H393" i="2" s="1"/>
  <c r="G391" i="2"/>
  <c r="G393" i="2" s="1"/>
  <c r="U386" i="2"/>
  <c r="Q386" i="2"/>
  <c r="O386" i="2"/>
  <c r="M386" i="2"/>
  <c r="L386" i="2"/>
  <c r="I386" i="2"/>
  <c r="G386" i="2"/>
  <c r="W385" i="2"/>
  <c r="U385" i="2"/>
  <c r="U387" i="2" s="1"/>
  <c r="Q385" i="2"/>
  <c r="O385" i="2"/>
  <c r="O387" i="2" s="1"/>
  <c r="M385" i="2"/>
  <c r="M387" i="2" s="1"/>
  <c r="I385" i="2"/>
  <c r="I387" i="2" s="1"/>
  <c r="G385" i="2"/>
  <c r="G387" i="2" s="1"/>
  <c r="V381" i="2"/>
  <c r="P381" i="2"/>
  <c r="T381" i="2" s="1"/>
  <c r="P380" i="2"/>
  <c r="X380" i="2" s="1"/>
  <c r="T379" i="2"/>
  <c r="R379" i="2"/>
  <c r="P379" i="2"/>
  <c r="X379" i="2" s="1"/>
  <c r="X378" i="2"/>
  <c r="T378" i="2"/>
  <c r="P378" i="2"/>
  <c r="R378" i="2" s="1"/>
  <c r="X377" i="2"/>
  <c r="V377" i="2"/>
  <c r="T377" i="2"/>
  <c r="R377" i="2"/>
  <c r="P377" i="2"/>
  <c r="Z375" i="2"/>
  <c r="Y375" i="2"/>
  <c r="W375" i="2"/>
  <c r="U375" i="2"/>
  <c r="S375" i="2"/>
  <c r="Q375" i="2"/>
  <c r="O375" i="2"/>
  <c r="N375" i="2"/>
  <c r="N361" i="2" s="1"/>
  <c r="N362" i="2" s="1"/>
  <c r="M375" i="2"/>
  <c r="L375" i="2"/>
  <c r="K375" i="2"/>
  <c r="J375" i="2"/>
  <c r="J361" i="2" s="1"/>
  <c r="J362" i="2" s="1"/>
  <c r="I375" i="2"/>
  <c r="H375" i="2"/>
  <c r="G375" i="2"/>
  <c r="P374" i="2"/>
  <c r="P375" i="2" s="1"/>
  <c r="T370" i="2"/>
  <c r="R370" i="2"/>
  <c r="P370" i="2"/>
  <c r="X370" i="2" s="1"/>
  <c r="W368" i="2"/>
  <c r="U368" i="2"/>
  <c r="V368" i="2" s="1"/>
  <c r="S368" i="2"/>
  <c r="Q368" i="2"/>
  <c r="P368" i="2"/>
  <c r="X368" i="2" s="1"/>
  <c r="O368" i="2"/>
  <c r="N368" i="2"/>
  <c r="M368" i="2"/>
  <c r="M361" i="2" s="1"/>
  <c r="M362" i="2" s="1"/>
  <c r="L368" i="2"/>
  <c r="K368" i="2"/>
  <c r="J368" i="2"/>
  <c r="I368" i="2"/>
  <c r="H368" i="2"/>
  <c r="G368" i="2"/>
  <c r="V367" i="2"/>
  <c r="T367" i="2"/>
  <c r="P367" i="2"/>
  <c r="X367" i="2" s="1"/>
  <c r="Y366" i="2"/>
  <c r="Y368" i="2" s="1"/>
  <c r="Y361" i="2" s="1"/>
  <c r="Y362" i="2" s="1"/>
  <c r="T366" i="2"/>
  <c r="R366" i="2"/>
  <c r="P366" i="2"/>
  <c r="X366" i="2" s="1"/>
  <c r="S362" i="2"/>
  <c r="K362" i="2"/>
  <c r="W361" i="2"/>
  <c r="W362" i="2" s="1"/>
  <c r="S361" i="2"/>
  <c r="Q361" i="2"/>
  <c r="O361" i="2"/>
  <c r="O362" i="2" s="1"/>
  <c r="L361" i="2"/>
  <c r="L362" i="2" s="1"/>
  <c r="K361" i="2"/>
  <c r="I361" i="2"/>
  <c r="I362" i="2" s="1"/>
  <c r="H361" i="2"/>
  <c r="H362" i="2" s="1"/>
  <c r="G361" i="2"/>
  <c r="G362" i="2" s="1"/>
  <c r="W357" i="2"/>
  <c r="U357" i="2"/>
  <c r="S357" i="2"/>
  <c r="Q357" i="2"/>
  <c r="O357" i="2"/>
  <c r="N357" i="2"/>
  <c r="M357" i="2"/>
  <c r="L357" i="2"/>
  <c r="K357" i="2"/>
  <c r="J357" i="2"/>
  <c r="I357" i="2"/>
  <c r="H357" i="2"/>
  <c r="G357" i="2"/>
  <c r="Y356" i="2"/>
  <c r="Z356" i="2" s="1"/>
  <c r="Z357" i="2" s="1"/>
  <c r="P356" i="2"/>
  <c r="P357" i="2" s="1"/>
  <c r="Z352" i="2"/>
  <c r="V352" i="2"/>
  <c r="T352" i="2"/>
  <c r="P352" i="2"/>
  <c r="X352" i="2" s="1"/>
  <c r="V351" i="2"/>
  <c r="P351" i="2"/>
  <c r="T351" i="2" s="1"/>
  <c r="X350" i="2"/>
  <c r="U350" i="2"/>
  <c r="V350" i="2" s="1"/>
  <c r="S350" i="2"/>
  <c r="T350" i="2" s="1"/>
  <c r="P350" i="2"/>
  <c r="R350" i="2" s="1"/>
  <c r="X349" i="2"/>
  <c r="V349" i="2"/>
  <c r="T349" i="2"/>
  <c r="R349" i="2"/>
  <c r="P349" i="2"/>
  <c r="P348" i="2"/>
  <c r="X348" i="2" s="1"/>
  <c r="W346" i="2"/>
  <c r="W328" i="2" s="1"/>
  <c r="U346" i="2"/>
  <c r="S346" i="2"/>
  <c r="Q346" i="2"/>
  <c r="O346" i="2"/>
  <c r="O328" i="2" s="1"/>
  <c r="O329" i="2" s="1"/>
  <c r="N346" i="2"/>
  <c r="M346" i="2"/>
  <c r="L346" i="2"/>
  <c r="K346" i="2"/>
  <c r="K328" i="2" s="1"/>
  <c r="J346" i="2"/>
  <c r="I346" i="2"/>
  <c r="H346" i="2"/>
  <c r="G346" i="2"/>
  <c r="G328" i="2" s="1"/>
  <c r="G329" i="2" s="1"/>
  <c r="Z345" i="2"/>
  <c r="V345" i="2"/>
  <c r="T345" i="2"/>
  <c r="P345" i="2"/>
  <c r="X345" i="2" s="1"/>
  <c r="Y344" i="2"/>
  <c r="Y346" i="2" s="1"/>
  <c r="T344" i="2"/>
  <c r="R344" i="2"/>
  <c r="P344" i="2"/>
  <c r="X344" i="2" s="1"/>
  <c r="Z343" i="2"/>
  <c r="Y343" i="2"/>
  <c r="P343" i="2"/>
  <c r="X343" i="2" s="1"/>
  <c r="Y339" i="2"/>
  <c r="Z339" i="2" s="1"/>
  <c r="V339" i="2"/>
  <c r="P339" i="2"/>
  <c r="T339" i="2" s="1"/>
  <c r="Z338" i="2"/>
  <c r="Y338" i="2"/>
  <c r="X338" i="2"/>
  <c r="T338" i="2"/>
  <c r="P338" i="2"/>
  <c r="R338" i="2" s="1"/>
  <c r="Y337" i="2"/>
  <c r="Z337" i="2" s="1"/>
  <c r="X337" i="2"/>
  <c r="V337" i="2"/>
  <c r="R337" i="2"/>
  <c r="P337" i="2"/>
  <c r="T337" i="2" s="1"/>
  <c r="Y335" i="2"/>
  <c r="W335" i="2"/>
  <c r="U335" i="2"/>
  <c r="S335" i="2"/>
  <c r="Q335" i="2"/>
  <c r="Q328" i="2" s="1"/>
  <c r="Q329" i="2" s="1"/>
  <c r="O335" i="2"/>
  <c r="N335" i="2"/>
  <c r="M335" i="2"/>
  <c r="L335" i="2"/>
  <c r="L328" i="2" s="1"/>
  <c r="L329" i="2" s="1"/>
  <c r="K335" i="2"/>
  <c r="J335" i="2"/>
  <c r="I335" i="2"/>
  <c r="I328" i="2" s="1"/>
  <c r="I329" i="2" s="1"/>
  <c r="H335" i="2"/>
  <c r="H328" i="2" s="1"/>
  <c r="H329" i="2" s="1"/>
  <c r="G335" i="2"/>
  <c r="Z334" i="2"/>
  <c r="Y334" i="2"/>
  <c r="P334" i="2"/>
  <c r="Y333" i="2"/>
  <c r="Z333" i="2" s="1"/>
  <c r="Z335" i="2" s="1"/>
  <c r="V333" i="2"/>
  <c r="P333" i="2"/>
  <c r="T333" i="2" s="1"/>
  <c r="J329" i="2"/>
  <c r="U328" i="2"/>
  <c r="U329" i="2" s="1"/>
  <c r="N328" i="2"/>
  <c r="N329" i="2" s="1"/>
  <c r="M328" i="2"/>
  <c r="M329" i="2" s="1"/>
  <c r="J328" i="2"/>
  <c r="P324" i="2"/>
  <c r="X324" i="2" s="1"/>
  <c r="T323" i="2"/>
  <c r="R323" i="2"/>
  <c r="P323" i="2"/>
  <c r="X323" i="2" s="1"/>
  <c r="X322" i="2"/>
  <c r="T322" i="2"/>
  <c r="P322" i="2"/>
  <c r="R322" i="2" s="1"/>
  <c r="X321" i="2"/>
  <c r="V321" i="2"/>
  <c r="T321" i="2"/>
  <c r="R321" i="2"/>
  <c r="P321" i="2"/>
  <c r="Z319" i="2"/>
  <c r="Y319" i="2"/>
  <c r="W319" i="2"/>
  <c r="U319" i="2"/>
  <c r="S319" i="2"/>
  <c r="Q319" i="2"/>
  <c r="O319" i="2"/>
  <c r="N319" i="2"/>
  <c r="N305" i="2" s="1"/>
  <c r="N306" i="2" s="1"/>
  <c r="M319" i="2"/>
  <c r="L319" i="2"/>
  <c r="K319" i="2"/>
  <c r="J319" i="2"/>
  <c r="J305" i="2" s="1"/>
  <c r="J306" i="2" s="1"/>
  <c r="I319" i="2"/>
  <c r="H319" i="2"/>
  <c r="G319" i="2"/>
  <c r="P318" i="2"/>
  <c r="W314" i="2"/>
  <c r="U314" i="2"/>
  <c r="S314" i="2"/>
  <c r="Q314" i="2"/>
  <c r="O314" i="2"/>
  <c r="N314" i="2"/>
  <c r="M314" i="2"/>
  <c r="L314" i="2"/>
  <c r="K314" i="2"/>
  <c r="K305" i="2" s="1"/>
  <c r="K306" i="2" s="1"/>
  <c r="J314" i="2"/>
  <c r="I314" i="2"/>
  <c r="H314" i="2"/>
  <c r="H305" i="2" s="1"/>
  <c r="H306" i="2" s="1"/>
  <c r="H300" i="2" s="1"/>
  <c r="H301" i="2" s="1"/>
  <c r="G314" i="2"/>
  <c r="Z313" i="2"/>
  <c r="Y313" i="2"/>
  <c r="V313" i="2"/>
  <c r="P313" i="2"/>
  <c r="T313" i="2" s="1"/>
  <c r="Z312" i="2"/>
  <c r="K312" i="2"/>
  <c r="P312" i="2" s="1"/>
  <c r="Y311" i="2"/>
  <c r="Z311" i="2" s="1"/>
  <c r="X311" i="2"/>
  <c r="V311" i="2"/>
  <c r="R311" i="2"/>
  <c r="P311" i="2"/>
  <c r="T311" i="2" s="1"/>
  <c r="Y310" i="2"/>
  <c r="Y314" i="2" s="1"/>
  <c r="Y305" i="2" s="1"/>
  <c r="Y306" i="2" s="1"/>
  <c r="P310" i="2"/>
  <c r="U306" i="2"/>
  <c r="M306" i="2"/>
  <c r="U305" i="2"/>
  <c r="S305" i="2"/>
  <c r="S306" i="2" s="1"/>
  <c r="Q305" i="2"/>
  <c r="Q306" i="2" s="1"/>
  <c r="O305" i="2"/>
  <c r="O306" i="2" s="1"/>
  <c r="O300" i="2" s="1"/>
  <c r="O301" i="2" s="1"/>
  <c r="M305" i="2"/>
  <c r="L305" i="2"/>
  <c r="L306" i="2" s="1"/>
  <c r="L300" i="2" s="1"/>
  <c r="L301" i="2" s="1"/>
  <c r="I305" i="2"/>
  <c r="I306" i="2" s="1"/>
  <c r="I300" i="2" s="1"/>
  <c r="I301" i="2" s="1"/>
  <c r="G305" i="2"/>
  <c r="G306" i="2" s="1"/>
  <c r="G300" i="2" s="1"/>
  <c r="G301" i="2" s="1"/>
  <c r="H296" i="2"/>
  <c r="Z295" i="2"/>
  <c r="Y295" i="2"/>
  <c r="W295" i="2"/>
  <c r="U295" i="2"/>
  <c r="S295" i="2"/>
  <c r="S296" i="2" s="1"/>
  <c r="Q295" i="2"/>
  <c r="O295" i="2"/>
  <c r="N295" i="2"/>
  <c r="M295" i="2"/>
  <c r="L295" i="2"/>
  <c r="K295" i="2"/>
  <c r="J295" i="2"/>
  <c r="I295" i="2"/>
  <c r="H295" i="2"/>
  <c r="G295" i="2"/>
  <c r="T294" i="2"/>
  <c r="R294" i="2"/>
  <c r="P294" i="2"/>
  <c r="X294" i="2" s="1"/>
  <c r="X293" i="2"/>
  <c r="T293" i="2"/>
  <c r="P293" i="2"/>
  <c r="R293" i="2" s="1"/>
  <c r="X292" i="2"/>
  <c r="V292" i="2"/>
  <c r="T292" i="2"/>
  <c r="R292" i="2"/>
  <c r="P292" i="2"/>
  <c r="P291" i="2"/>
  <c r="X291" i="2" s="1"/>
  <c r="Z290" i="2"/>
  <c r="Z296" i="2" s="1"/>
  <c r="Y290" i="2"/>
  <c r="Y296" i="2" s="1"/>
  <c r="W290" i="2"/>
  <c r="U290" i="2"/>
  <c r="V290" i="2" s="1"/>
  <c r="S290" i="2"/>
  <c r="T290" i="2" s="1"/>
  <c r="Q290" i="2"/>
  <c r="Q296" i="2" s="1"/>
  <c r="O290" i="2"/>
  <c r="O296" i="2" s="1"/>
  <c r="N290" i="2"/>
  <c r="N296" i="2" s="1"/>
  <c r="M290" i="2"/>
  <c r="M296" i="2" s="1"/>
  <c r="L290" i="2"/>
  <c r="L296" i="2" s="1"/>
  <c r="K290" i="2"/>
  <c r="K296" i="2" s="1"/>
  <c r="J290" i="2"/>
  <c r="J296" i="2" s="1"/>
  <c r="I290" i="2"/>
  <c r="I296" i="2" s="1"/>
  <c r="H290" i="2"/>
  <c r="G290" i="2"/>
  <c r="G296" i="2" s="1"/>
  <c r="T289" i="2"/>
  <c r="R289" i="2"/>
  <c r="P289" i="2"/>
  <c r="X289" i="2" s="1"/>
  <c r="X288" i="2"/>
  <c r="T288" i="2"/>
  <c r="P288" i="2"/>
  <c r="R288" i="2" s="1"/>
  <c r="X287" i="2"/>
  <c r="V287" i="2"/>
  <c r="T287" i="2"/>
  <c r="R287" i="2"/>
  <c r="P287" i="2"/>
  <c r="P290" i="2" s="1"/>
  <c r="W283" i="2"/>
  <c r="U283" i="2"/>
  <c r="S283" i="2"/>
  <c r="Q283" i="2"/>
  <c r="O283" i="2"/>
  <c r="N283" i="2"/>
  <c r="M283" i="2"/>
  <c r="L283" i="2"/>
  <c r="K283" i="2"/>
  <c r="J283" i="2"/>
  <c r="I283" i="2"/>
  <c r="H283" i="2"/>
  <c r="G283" i="2"/>
  <c r="G264" i="2" s="1"/>
  <c r="G265" i="2" s="1"/>
  <c r="Y282" i="2"/>
  <c r="Y283" i="2" s="1"/>
  <c r="X282" i="2"/>
  <c r="T282" i="2"/>
  <c r="P282" i="2"/>
  <c r="Z278" i="2"/>
  <c r="Y278" i="2"/>
  <c r="X278" i="2"/>
  <c r="V278" i="2"/>
  <c r="R278" i="2"/>
  <c r="P278" i="2"/>
  <c r="T278" i="2" s="1"/>
  <c r="Z277" i="2"/>
  <c r="Y277" i="2"/>
  <c r="X277" i="2"/>
  <c r="V277" i="2"/>
  <c r="T277" i="2"/>
  <c r="P277" i="2"/>
  <c r="R277" i="2" s="1"/>
  <c r="Y276" i="2"/>
  <c r="Z276" i="2" s="1"/>
  <c r="X276" i="2"/>
  <c r="V276" i="2"/>
  <c r="S276" i="2"/>
  <c r="T276" i="2" s="1"/>
  <c r="P276" i="2"/>
  <c r="R276" i="2" s="1"/>
  <c r="N274" i="2"/>
  <c r="Y273" i="2"/>
  <c r="W273" i="2"/>
  <c r="X273" i="2" s="1"/>
  <c r="U273" i="2"/>
  <c r="V273" i="2" s="1"/>
  <c r="S273" i="2"/>
  <c r="Q273" i="2"/>
  <c r="O273" i="2"/>
  <c r="N273" i="2"/>
  <c r="M273" i="2"/>
  <c r="M264" i="2" s="1"/>
  <c r="M265" i="2" s="1"/>
  <c r="L273" i="2"/>
  <c r="K273" i="2"/>
  <c r="J273" i="2"/>
  <c r="I273" i="2"/>
  <c r="H273" i="2"/>
  <c r="G273" i="2"/>
  <c r="V272" i="2"/>
  <c r="P272" i="2"/>
  <c r="X272" i="2" s="1"/>
  <c r="Z271" i="2"/>
  <c r="Z273" i="2" s="1"/>
  <c r="Y271" i="2"/>
  <c r="T271" i="2"/>
  <c r="P271" i="2"/>
  <c r="P273" i="2" s="1"/>
  <c r="Z270" i="2"/>
  <c r="Y270" i="2"/>
  <c r="Y263" i="2" s="1"/>
  <c r="W270" i="2"/>
  <c r="X270" i="2" s="1"/>
  <c r="U270" i="2"/>
  <c r="U274" i="2" s="1"/>
  <c r="S270" i="2"/>
  <c r="S274" i="2" s="1"/>
  <c r="Q270" i="2"/>
  <c r="Q263" i="2" s="1"/>
  <c r="O270" i="2"/>
  <c r="O274" i="2" s="1"/>
  <c r="N270" i="2"/>
  <c r="M270" i="2"/>
  <c r="M274" i="2" s="1"/>
  <c r="L270" i="2"/>
  <c r="L274" i="2" s="1"/>
  <c r="K270" i="2"/>
  <c r="K274" i="2" s="1"/>
  <c r="K264" i="2" s="1"/>
  <c r="J270" i="2"/>
  <c r="J274" i="2" s="1"/>
  <c r="J264" i="2" s="1"/>
  <c r="J265" i="2" s="1"/>
  <c r="I270" i="2"/>
  <c r="I263" i="2" s="1"/>
  <c r="I222" i="2" s="1"/>
  <c r="H270" i="2"/>
  <c r="H274" i="2" s="1"/>
  <c r="H264" i="2" s="1"/>
  <c r="G270" i="2"/>
  <c r="G274" i="2" s="1"/>
  <c r="V269" i="2"/>
  <c r="P269" i="2"/>
  <c r="P270" i="2" s="1"/>
  <c r="O264" i="2"/>
  <c r="O265" i="2" s="1"/>
  <c r="N264" i="2"/>
  <c r="N265" i="2" s="1"/>
  <c r="L264" i="2"/>
  <c r="L265" i="2" s="1"/>
  <c r="Z263" i="2"/>
  <c r="W263" i="2"/>
  <c r="S263" i="2"/>
  <c r="N263" i="2"/>
  <c r="L263" i="2"/>
  <c r="K263" i="2"/>
  <c r="J263" i="2"/>
  <c r="H263" i="2"/>
  <c r="W259" i="2"/>
  <c r="U259" i="2"/>
  <c r="S259" i="2"/>
  <c r="Q259" i="2"/>
  <c r="O259" i="2"/>
  <c r="N259" i="2"/>
  <c r="M259" i="2"/>
  <c r="L259" i="2"/>
  <c r="K259" i="2"/>
  <c r="J259" i="2"/>
  <c r="I259" i="2"/>
  <c r="H259" i="2"/>
  <c r="G259" i="2"/>
  <c r="Z258" i="2"/>
  <c r="Z259" i="2" s="1"/>
  <c r="Y258" i="2"/>
  <c r="Y259" i="2" s="1"/>
  <c r="T258" i="2"/>
  <c r="P258" i="2"/>
  <c r="X258" i="2" s="1"/>
  <c r="Y254" i="2"/>
  <c r="Z254" i="2" s="1"/>
  <c r="V254" i="2"/>
  <c r="T254" i="2"/>
  <c r="R254" i="2"/>
  <c r="P254" i="2"/>
  <c r="X254" i="2" s="1"/>
  <c r="Y253" i="2"/>
  <c r="Z253" i="2" s="1"/>
  <c r="P253" i="2"/>
  <c r="X253" i="2" s="1"/>
  <c r="W251" i="2"/>
  <c r="U251" i="2"/>
  <c r="S251" i="2"/>
  <c r="Q251" i="2"/>
  <c r="O251" i="2"/>
  <c r="N251" i="2"/>
  <c r="M251" i="2"/>
  <c r="L251" i="2"/>
  <c r="K251" i="2"/>
  <c r="J251" i="2"/>
  <c r="I251" i="2"/>
  <c r="H251" i="2"/>
  <c r="G251" i="2"/>
  <c r="Y250" i="2"/>
  <c r="Z250" i="2" s="1"/>
  <c r="V250" i="2"/>
  <c r="P250" i="2"/>
  <c r="X250" i="2" s="1"/>
  <c r="Z249" i="2"/>
  <c r="Z251" i="2" s="1"/>
  <c r="Y249" i="2"/>
  <c r="T249" i="2"/>
  <c r="P249" i="2"/>
  <c r="X249" i="2" s="1"/>
  <c r="W244" i="2"/>
  <c r="W245" i="2" s="1"/>
  <c r="U244" i="2"/>
  <c r="U229" i="2" s="1"/>
  <c r="S244" i="2"/>
  <c r="Q244" i="2"/>
  <c r="Q245" i="2" s="1"/>
  <c r="O244" i="2"/>
  <c r="O245" i="2" s="1"/>
  <c r="M244" i="2"/>
  <c r="M229" i="2" s="1"/>
  <c r="M223" i="2" s="1"/>
  <c r="K244" i="2"/>
  <c r="K245" i="2" s="1"/>
  <c r="J244" i="2"/>
  <c r="I244" i="2"/>
  <c r="I245" i="2" s="1"/>
  <c r="H244" i="2"/>
  <c r="G244" i="2"/>
  <c r="G245" i="2" s="1"/>
  <c r="Y243" i="2"/>
  <c r="Y244" i="2" s="1"/>
  <c r="V243" i="2"/>
  <c r="T243" i="2"/>
  <c r="R243" i="2"/>
  <c r="P243" i="2"/>
  <c r="X243" i="2" s="1"/>
  <c r="W242" i="2"/>
  <c r="U242" i="2"/>
  <c r="S242" i="2"/>
  <c r="Q242" i="2"/>
  <c r="R242" i="2" s="1"/>
  <c r="O242" i="2"/>
  <c r="N242" i="2"/>
  <c r="M242" i="2"/>
  <c r="L242" i="2"/>
  <c r="L244" i="2" s="1"/>
  <c r="L229" i="2" s="1"/>
  <c r="L223" i="2" s="1"/>
  <c r="K242" i="2"/>
  <c r="J242" i="2"/>
  <c r="J245" i="2" s="1"/>
  <c r="I242" i="2"/>
  <c r="H242" i="2"/>
  <c r="H245" i="2" s="1"/>
  <c r="G242" i="2"/>
  <c r="Z241" i="2"/>
  <c r="Y241" i="2"/>
  <c r="X241" i="2"/>
  <c r="P241" i="2"/>
  <c r="P242" i="2" s="1"/>
  <c r="Y240" i="2"/>
  <c r="Z240" i="2" s="1"/>
  <c r="Z242" i="2" s="1"/>
  <c r="V240" i="2"/>
  <c r="P240" i="2"/>
  <c r="X240" i="2" s="1"/>
  <c r="W236" i="2"/>
  <c r="W229" i="2" s="1"/>
  <c r="U236" i="2"/>
  <c r="S236" i="2"/>
  <c r="S229" i="2" s="1"/>
  <c r="Q236" i="2"/>
  <c r="O236" i="2"/>
  <c r="O229" i="2" s="1"/>
  <c r="O223" i="2" s="1"/>
  <c r="N236" i="2"/>
  <c r="M236" i="2"/>
  <c r="L236" i="2"/>
  <c r="K236" i="2"/>
  <c r="K229" i="2" s="1"/>
  <c r="J236" i="2"/>
  <c r="J229" i="2" s="1"/>
  <c r="J223" i="2" s="1"/>
  <c r="I236" i="2"/>
  <c r="H236" i="2"/>
  <c r="G236" i="2"/>
  <c r="G229" i="2" s="1"/>
  <c r="G223" i="2" s="1"/>
  <c r="Z235" i="2"/>
  <c r="Z236" i="2" s="1"/>
  <c r="Y235" i="2"/>
  <c r="Y236" i="2" s="1"/>
  <c r="T235" i="2"/>
  <c r="P235" i="2"/>
  <c r="R235" i="2" s="1"/>
  <c r="Z234" i="2"/>
  <c r="X234" i="2"/>
  <c r="P234" i="2"/>
  <c r="P236" i="2" s="1"/>
  <c r="K234" i="2"/>
  <c r="H229" i="2"/>
  <c r="W228" i="2"/>
  <c r="W230" i="2" s="1"/>
  <c r="U228" i="2"/>
  <c r="S228" i="2"/>
  <c r="Q228" i="2"/>
  <c r="O228" i="2"/>
  <c r="O230" i="2" s="1"/>
  <c r="N228" i="2"/>
  <c r="M228" i="2"/>
  <c r="L228" i="2"/>
  <c r="L230" i="2" s="1"/>
  <c r="K228" i="2"/>
  <c r="K230" i="2" s="1"/>
  <c r="J228" i="2"/>
  <c r="J230" i="2" s="1"/>
  <c r="I228" i="2"/>
  <c r="H228" i="2"/>
  <c r="H230" i="2" s="1"/>
  <c r="G228" i="2"/>
  <c r="G230" i="2" s="1"/>
  <c r="W222" i="2"/>
  <c r="S222" i="2"/>
  <c r="N222" i="2"/>
  <c r="L222" i="2"/>
  <c r="L224" i="2" s="1"/>
  <c r="K222" i="2"/>
  <c r="J222" i="2"/>
  <c r="J224" i="2" s="1"/>
  <c r="H222" i="2"/>
  <c r="Z218" i="2"/>
  <c r="Y218" i="2"/>
  <c r="W218" i="2"/>
  <c r="U218" i="2"/>
  <c r="S218" i="2"/>
  <c r="Q218" i="2"/>
  <c r="P218" i="2"/>
  <c r="T218" i="2" s="1"/>
  <c r="O218" i="2"/>
  <c r="N218" i="2"/>
  <c r="M218" i="2"/>
  <c r="L218" i="2"/>
  <c r="K218" i="2"/>
  <c r="J218" i="2"/>
  <c r="I218" i="2"/>
  <c r="H218" i="2"/>
  <c r="G218" i="2"/>
  <c r="T217" i="2"/>
  <c r="P217" i="2"/>
  <c r="R217" i="2" s="1"/>
  <c r="Z213" i="2"/>
  <c r="Y213" i="2"/>
  <c r="W213" i="2"/>
  <c r="U213" i="2"/>
  <c r="S213" i="2"/>
  <c r="Q213" i="2"/>
  <c r="O213" i="2"/>
  <c r="N213" i="2"/>
  <c r="M213" i="2"/>
  <c r="L213" i="2"/>
  <c r="K213" i="2"/>
  <c r="J213" i="2"/>
  <c r="I213" i="2"/>
  <c r="H213" i="2"/>
  <c r="G213" i="2"/>
  <c r="V212" i="2"/>
  <c r="R212" i="2"/>
  <c r="P212" i="2"/>
  <c r="T212" i="2" s="1"/>
  <c r="Z208" i="2"/>
  <c r="Y208" i="2"/>
  <c r="T208" i="2"/>
  <c r="P208" i="2"/>
  <c r="R208" i="2" s="1"/>
  <c r="Z207" i="2"/>
  <c r="X207" i="2"/>
  <c r="P207" i="2"/>
  <c r="V207" i="2" s="1"/>
  <c r="Y205" i="2"/>
  <c r="W205" i="2"/>
  <c r="U205" i="2"/>
  <c r="S205" i="2"/>
  <c r="Q205" i="2"/>
  <c r="O205" i="2"/>
  <c r="N205" i="2"/>
  <c r="M205" i="2"/>
  <c r="L205" i="2"/>
  <c r="K205" i="2"/>
  <c r="J205" i="2"/>
  <c r="I205" i="2"/>
  <c r="H205" i="2"/>
  <c r="G205" i="2"/>
  <c r="Z204" i="2"/>
  <c r="Z205" i="2" s="1"/>
  <c r="T204" i="2"/>
  <c r="P204" i="2"/>
  <c r="R204" i="2" s="1"/>
  <c r="Y200" i="2"/>
  <c r="Y194" i="2" s="1"/>
  <c r="Y195" i="2" s="1"/>
  <c r="W200" i="2"/>
  <c r="U200" i="2"/>
  <c r="S200" i="2"/>
  <c r="Q200" i="2"/>
  <c r="O200" i="2"/>
  <c r="N200" i="2"/>
  <c r="M200" i="2"/>
  <c r="M194" i="2" s="1"/>
  <c r="M195" i="2" s="1"/>
  <c r="L200" i="2"/>
  <c r="K200" i="2"/>
  <c r="J200" i="2"/>
  <c r="I200" i="2"/>
  <c r="I194" i="2" s="1"/>
  <c r="I195" i="2" s="1"/>
  <c r="H200" i="2"/>
  <c r="G200" i="2"/>
  <c r="Y199" i="2"/>
  <c r="Z199" i="2" s="1"/>
  <c r="Z200" i="2" s="1"/>
  <c r="Z194" i="2" s="1"/>
  <c r="Z195" i="2" s="1"/>
  <c r="V199" i="2"/>
  <c r="T199" i="2"/>
  <c r="R199" i="2"/>
  <c r="P199" i="2"/>
  <c r="X199" i="2" s="1"/>
  <c r="N194" i="2"/>
  <c r="N195" i="2" s="1"/>
  <c r="L194" i="2"/>
  <c r="L195" i="2" s="1"/>
  <c r="J194" i="2"/>
  <c r="J195" i="2" s="1"/>
  <c r="H194" i="2"/>
  <c r="H195" i="2" s="1"/>
  <c r="Z190" i="2"/>
  <c r="Y190" i="2"/>
  <c r="X190" i="2"/>
  <c r="W190" i="2"/>
  <c r="U190" i="2"/>
  <c r="T190" i="2"/>
  <c r="S190" i="2"/>
  <c r="Q190" i="2"/>
  <c r="P190" i="2"/>
  <c r="O190" i="2"/>
  <c r="N190" i="2"/>
  <c r="M190" i="2"/>
  <c r="L190" i="2"/>
  <c r="K190" i="2"/>
  <c r="J190" i="2"/>
  <c r="I190" i="2"/>
  <c r="H190" i="2"/>
  <c r="G190" i="2"/>
  <c r="T189" i="2"/>
  <c r="P189" i="2"/>
  <c r="X189" i="2" s="1"/>
  <c r="Y185" i="2"/>
  <c r="Z185" i="2" s="1"/>
  <c r="V185" i="2"/>
  <c r="T185" i="2"/>
  <c r="R185" i="2"/>
  <c r="P185" i="2"/>
  <c r="X185" i="2" s="1"/>
  <c r="Z184" i="2"/>
  <c r="Y184" i="2"/>
  <c r="P184" i="2"/>
  <c r="Y183" i="2"/>
  <c r="Z183" i="2" s="1"/>
  <c r="O183" i="2"/>
  <c r="P183" i="2" s="1"/>
  <c r="Y182" i="2"/>
  <c r="Z182" i="2" s="1"/>
  <c r="V182" i="2"/>
  <c r="R182" i="2"/>
  <c r="P182" i="2"/>
  <c r="T182" i="2" s="1"/>
  <c r="Z180" i="2"/>
  <c r="Z171" i="2" s="1"/>
  <c r="Z172" i="2" s="1"/>
  <c r="Y180" i="2"/>
  <c r="W180" i="2"/>
  <c r="U180" i="2"/>
  <c r="S180" i="2"/>
  <c r="Q180" i="2"/>
  <c r="O180" i="2"/>
  <c r="N180" i="2"/>
  <c r="N171" i="2" s="1"/>
  <c r="N172" i="2" s="1"/>
  <c r="M180" i="2"/>
  <c r="L180" i="2"/>
  <c r="K180" i="2"/>
  <c r="J180" i="2"/>
  <c r="J171" i="2" s="1"/>
  <c r="J172" i="2" s="1"/>
  <c r="I180" i="2"/>
  <c r="H180" i="2"/>
  <c r="G180" i="2"/>
  <c r="X179" i="2"/>
  <c r="P179" i="2"/>
  <c r="R178" i="2"/>
  <c r="N178" i="2"/>
  <c r="P178" i="2" s="1"/>
  <c r="X177" i="2"/>
  <c r="V177" i="2"/>
  <c r="R177" i="2"/>
  <c r="P177" i="2"/>
  <c r="T177" i="2" s="1"/>
  <c r="P176" i="2"/>
  <c r="Y172" i="2"/>
  <c r="W172" i="2"/>
  <c r="M172" i="2"/>
  <c r="I172" i="2"/>
  <c r="G172" i="2"/>
  <c r="Y171" i="2"/>
  <c r="W171" i="2"/>
  <c r="U171" i="2"/>
  <c r="U172" i="2" s="1"/>
  <c r="S171" i="2"/>
  <c r="Q171" i="2"/>
  <c r="O171" i="2"/>
  <c r="O172" i="2" s="1"/>
  <c r="M171" i="2"/>
  <c r="K171" i="2"/>
  <c r="K172" i="2" s="1"/>
  <c r="I171" i="2"/>
  <c r="H171" i="2"/>
  <c r="H172" i="2" s="1"/>
  <c r="G171" i="2"/>
  <c r="O167" i="2"/>
  <c r="Z166" i="2"/>
  <c r="Y166" i="2"/>
  <c r="W166" i="2"/>
  <c r="U166" i="2"/>
  <c r="S166" i="2"/>
  <c r="Q166" i="2"/>
  <c r="O166" i="2"/>
  <c r="N166" i="2"/>
  <c r="M166" i="2"/>
  <c r="L166" i="2"/>
  <c r="K166" i="2"/>
  <c r="J166" i="2"/>
  <c r="I166" i="2"/>
  <c r="H166" i="2"/>
  <c r="G166" i="2"/>
  <c r="X165" i="2"/>
  <c r="V165" i="2"/>
  <c r="R165" i="2"/>
  <c r="P165" i="2"/>
  <c r="T165" i="2" s="1"/>
  <c r="X164" i="2"/>
  <c r="P164" i="2"/>
  <c r="V164" i="2" s="1"/>
  <c r="R163" i="2"/>
  <c r="P163" i="2"/>
  <c r="X163" i="2" s="1"/>
  <c r="V162" i="2"/>
  <c r="T162" i="2"/>
  <c r="P162" i="2"/>
  <c r="R162" i="2" s="1"/>
  <c r="Z161" i="2"/>
  <c r="Z167" i="2" s="1"/>
  <c r="Y161" i="2"/>
  <c r="Y167" i="2" s="1"/>
  <c r="W161" i="2"/>
  <c r="W167" i="2" s="1"/>
  <c r="U161" i="2"/>
  <c r="U167" i="2" s="1"/>
  <c r="S161" i="2"/>
  <c r="Q161" i="2"/>
  <c r="Q167" i="2" s="1"/>
  <c r="O161" i="2"/>
  <c r="N161" i="2"/>
  <c r="N167" i="2" s="1"/>
  <c r="M161" i="2"/>
  <c r="M167" i="2" s="1"/>
  <c r="L161" i="2"/>
  <c r="L167" i="2" s="1"/>
  <c r="K161" i="2"/>
  <c r="K167" i="2" s="1"/>
  <c r="J161" i="2"/>
  <c r="J167" i="2" s="1"/>
  <c r="I161" i="2"/>
  <c r="I167" i="2" s="1"/>
  <c r="H161" i="2"/>
  <c r="H167" i="2" s="1"/>
  <c r="G161" i="2"/>
  <c r="G167" i="2" s="1"/>
  <c r="X160" i="2"/>
  <c r="V160" i="2"/>
  <c r="R160" i="2"/>
  <c r="P160" i="2"/>
  <c r="T160" i="2" s="1"/>
  <c r="X159" i="2"/>
  <c r="P159" i="2"/>
  <c r="P161" i="2" s="1"/>
  <c r="W155" i="2"/>
  <c r="O155" i="2"/>
  <c r="W154" i="2"/>
  <c r="W128" i="2" s="1"/>
  <c r="U154" i="2"/>
  <c r="S154" i="2"/>
  <c r="S155" i="2" s="1"/>
  <c r="Q154" i="2"/>
  <c r="O154" i="2"/>
  <c r="O128" i="2" s="1"/>
  <c r="N154" i="2"/>
  <c r="M154" i="2"/>
  <c r="L154" i="2"/>
  <c r="K154" i="2"/>
  <c r="K155" i="2" s="1"/>
  <c r="J154" i="2"/>
  <c r="I154" i="2"/>
  <c r="H154" i="2"/>
  <c r="G154" i="2"/>
  <c r="G128" i="2" s="1"/>
  <c r="K153" i="2"/>
  <c r="Y153" i="2" s="1"/>
  <c r="R152" i="2"/>
  <c r="P152" i="2"/>
  <c r="X152" i="2" s="1"/>
  <c r="V151" i="2"/>
  <c r="T151" i="2"/>
  <c r="P151" i="2"/>
  <c r="R151" i="2" s="1"/>
  <c r="V150" i="2"/>
  <c r="T150" i="2"/>
  <c r="P150" i="2"/>
  <c r="X150" i="2" s="1"/>
  <c r="W149" i="2"/>
  <c r="U149" i="2"/>
  <c r="U155" i="2" s="1"/>
  <c r="S149" i="2"/>
  <c r="Q149" i="2"/>
  <c r="Q155" i="2" s="1"/>
  <c r="O149" i="2"/>
  <c r="N149" i="2"/>
  <c r="N155" i="2" s="1"/>
  <c r="M149" i="2"/>
  <c r="M155" i="2" s="1"/>
  <c r="L149" i="2"/>
  <c r="L155" i="2" s="1"/>
  <c r="K149" i="2"/>
  <c r="J149" i="2"/>
  <c r="J155" i="2" s="1"/>
  <c r="Z148" i="2"/>
  <c r="Y148" i="2"/>
  <c r="V148" i="2"/>
  <c r="T148" i="2"/>
  <c r="P148" i="2"/>
  <c r="R148" i="2" s="1"/>
  <c r="J148" i="2"/>
  <c r="I148" i="2"/>
  <c r="I149" i="2" s="1"/>
  <c r="I155" i="2" s="1"/>
  <c r="H148" i="2"/>
  <c r="H149" i="2" s="1"/>
  <c r="G148" i="2"/>
  <c r="G149" i="2" s="1"/>
  <c r="Y147" i="2"/>
  <c r="Y149" i="2" s="1"/>
  <c r="R147" i="2"/>
  <c r="P147" i="2"/>
  <c r="X147" i="2" s="1"/>
  <c r="X146" i="2"/>
  <c r="V146" i="2"/>
  <c r="T146" i="2"/>
  <c r="P146" i="2"/>
  <c r="R146" i="2" s="1"/>
  <c r="Z141" i="2"/>
  <c r="Y141" i="2"/>
  <c r="W141" i="2"/>
  <c r="U141" i="2"/>
  <c r="S141" i="2"/>
  <c r="Q141" i="2"/>
  <c r="Q128" i="2" s="1"/>
  <c r="O141" i="2"/>
  <c r="N141" i="2"/>
  <c r="M141" i="2"/>
  <c r="M128" i="2" s="1"/>
  <c r="L141" i="2"/>
  <c r="K141" i="2"/>
  <c r="J141" i="2"/>
  <c r="I141" i="2"/>
  <c r="I128" i="2" s="1"/>
  <c r="H141" i="2"/>
  <c r="G141" i="2"/>
  <c r="V140" i="2"/>
  <c r="T140" i="2"/>
  <c r="P140" i="2"/>
  <c r="X140" i="2" s="1"/>
  <c r="P139" i="2"/>
  <c r="X139" i="2" s="1"/>
  <c r="X138" i="2"/>
  <c r="V138" i="2"/>
  <c r="T138" i="2"/>
  <c r="R138" i="2"/>
  <c r="P138" i="2"/>
  <c r="T137" i="2"/>
  <c r="R137" i="2"/>
  <c r="P137" i="2"/>
  <c r="P141" i="2" s="1"/>
  <c r="W136" i="2"/>
  <c r="U136" i="2"/>
  <c r="U142" i="2" s="1"/>
  <c r="S136" i="2"/>
  <c r="S142" i="2" s="1"/>
  <c r="Q136" i="2"/>
  <c r="Q142" i="2" s="1"/>
  <c r="O136" i="2"/>
  <c r="O142" i="2" s="1"/>
  <c r="N136" i="2"/>
  <c r="N142" i="2" s="1"/>
  <c r="M136" i="2"/>
  <c r="M142" i="2" s="1"/>
  <c r="L136" i="2"/>
  <c r="L142" i="2" s="1"/>
  <c r="K136" i="2"/>
  <c r="K142" i="2" s="1"/>
  <c r="J136" i="2"/>
  <c r="J142" i="2" s="1"/>
  <c r="I136" i="2"/>
  <c r="I142" i="2" s="1"/>
  <c r="H136" i="2"/>
  <c r="H142" i="2" s="1"/>
  <c r="G136" i="2"/>
  <c r="G142" i="2" s="1"/>
  <c r="Y135" i="2"/>
  <c r="Y136" i="2" s="1"/>
  <c r="X135" i="2"/>
  <c r="V135" i="2"/>
  <c r="T135" i="2"/>
  <c r="R135" i="2"/>
  <c r="P135" i="2"/>
  <c r="T134" i="2"/>
  <c r="R134" i="2"/>
  <c r="P134" i="2"/>
  <c r="X134" i="2" s="1"/>
  <c r="X133" i="2"/>
  <c r="V133" i="2"/>
  <c r="R133" i="2"/>
  <c r="P133" i="2"/>
  <c r="P136" i="2" s="1"/>
  <c r="N128" i="2"/>
  <c r="L128" i="2"/>
  <c r="J128" i="2"/>
  <c r="H128" i="2"/>
  <c r="W127" i="2"/>
  <c r="S127" i="2"/>
  <c r="O127" i="2"/>
  <c r="O129" i="2" s="1"/>
  <c r="N127" i="2"/>
  <c r="N129" i="2" s="1"/>
  <c r="L127" i="2"/>
  <c r="L129" i="2" s="1"/>
  <c r="K127" i="2"/>
  <c r="J127" i="2"/>
  <c r="J129" i="2" s="1"/>
  <c r="W123" i="2"/>
  <c r="U123" i="2"/>
  <c r="S123" i="2"/>
  <c r="Q123" i="2"/>
  <c r="O123" i="2"/>
  <c r="N123" i="2"/>
  <c r="M123" i="2"/>
  <c r="L123" i="2"/>
  <c r="K123" i="2"/>
  <c r="J123" i="2"/>
  <c r="I123" i="2"/>
  <c r="H123" i="2"/>
  <c r="G123" i="2"/>
  <c r="Z122" i="2"/>
  <c r="Z123" i="2" s="1"/>
  <c r="Y122" i="2"/>
  <c r="Y123" i="2" s="1"/>
  <c r="X122" i="2"/>
  <c r="V122" i="2"/>
  <c r="T122" i="2"/>
  <c r="P122" i="2"/>
  <c r="R122" i="2" s="1"/>
  <c r="V121" i="2"/>
  <c r="P121" i="2"/>
  <c r="P123" i="2" s="1"/>
  <c r="P117" i="2"/>
  <c r="X117" i="2" s="1"/>
  <c r="Z116" i="2"/>
  <c r="Y116" i="2"/>
  <c r="X116" i="2"/>
  <c r="V116" i="2"/>
  <c r="R116" i="2"/>
  <c r="P116" i="2"/>
  <c r="T116" i="2" s="1"/>
  <c r="H116" i="2"/>
  <c r="Z115" i="2"/>
  <c r="Y115" i="2"/>
  <c r="X115" i="2"/>
  <c r="V115" i="2"/>
  <c r="R115" i="2"/>
  <c r="P115" i="2"/>
  <c r="T115" i="2" s="1"/>
  <c r="Z114" i="2"/>
  <c r="Y114" i="2"/>
  <c r="X114" i="2"/>
  <c r="V114" i="2"/>
  <c r="T114" i="2"/>
  <c r="P114" i="2"/>
  <c r="R114" i="2" s="1"/>
  <c r="L114" i="2"/>
  <c r="W112" i="2"/>
  <c r="U112" i="2"/>
  <c r="S112" i="2"/>
  <c r="Q112" i="2"/>
  <c r="O112" i="2"/>
  <c r="N112" i="2"/>
  <c r="M112" i="2"/>
  <c r="L112" i="2"/>
  <c r="K112" i="2"/>
  <c r="J112" i="2"/>
  <c r="I112" i="2"/>
  <c r="H112" i="2"/>
  <c r="G112" i="2"/>
  <c r="Z111" i="2"/>
  <c r="Y111" i="2"/>
  <c r="T111" i="2"/>
  <c r="P111" i="2"/>
  <c r="X111" i="2" s="1"/>
  <c r="Z110" i="2"/>
  <c r="P110" i="2"/>
  <c r="X110" i="2" s="1"/>
  <c r="X109" i="2"/>
  <c r="V109" i="2"/>
  <c r="T109" i="2"/>
  <c r="R109" i="2"/>
  <c r="P109" i="2"/>
  <c r="Y108" i="2"/>
  <c r="Z108" i="2" s="1"/>
  <c r="X108" i="2"/>
  <c r="P108" i="2"/>
  <c r="V108" i="2" s="1"/>
  <c r="Y107" i="2"/>
  <c r="Z107" i="2" s="1"/>
  <c r="Z112" i="2" s="1"/>
  <c r="V107" i="2"/>
  <c r="P107" i="2"/>
  <c r="X107" i="2" s="1"/>
  <c r="N103" i="2"/>
  <c r="Z102" i="2"/>
  <c r="Y102" i="2"/>
  <c r="W102" i="2"/>
  <c r="U102" i="2"/>
  <c r="S102" i="2"/>
  <c r="Q102" i="2"/>
  <c r="O102" i="2"/>
  <c r="N102" i="2"/>
  <c r="M102" i="2"/>
  <c r="L102" i="2"/>
  <c r="K102" i="2"/>
  <c r="J102" i="2"/>
  <c r="J103" i="2" s="1"/>
  <c r="I102" i="2"/>
  <c r="P101" i="2"/>
  <c r="X101" i="2" s="1"/>
  <c r="H101" i="2"/>
  <c r="H102" i="2" s="1"/>
  <c r="G101" i="2"/>
  <c r="G102" i="2" s="1"/>
  <c r="X100" i="2"/>
  <c r="V100" i="2"/>
  <c r="P100" i="2"/>
  <c r="T100" i="2" s="1"/>
  <c r="X99" i="2"/>
  <c r="P99" i="2"/>
  <c r="V99" i="2" s="1"/>
  <c r="W98" i="2"/>
  <c r="W103" i="2" s="1"/>
  <c r="U98" i="2"/>
  <c r="U103" i="2" s="1"/>
  <c r="S98" i="2"/>
  <c r="S103" i="2" s="1"/>
  <c r="Q98" i="2"/>
  <c r="Q103" i="2" s="1"/>
  <c r="O98" i="2"/>
  <c r="O103" i="2" s="1"/>
  <c r="N98" i="2"/>
  <c r="M98" i="2"/>
  <c r="M103" i="2" s="1"/>
  <c r="L98" i="2"/>
  <c r="L103" i="2" s="1"/>
  <c r="K98" i="2"/>
  <c r="K103" i="2" s="1"/>
  <c r="J98" i="2"/>
  <c r="I98" i="2"/>
  <c r="I103" i="2" s="1"/>
  <c r="G98" i="2"/>
  <c r="G103" i="2" s="1"/>
  <c r="Y97" i="2"/>
  <c r="Y98" i="2" s="1"/>
  <c r="Y103" i="2" s="1"/>
  <c r="X97" i="2"/>
  <c r="V97" i="2"/>
  <c r="P97" i="2"/>
  <c r="T97" i="2" s="1"/>
  <c r="H97" i="2"/>
  <c r="H98" i="2" s="1"/>
  <c r="H103" i="2" s="1"/>
  <c r="S93" i="2"/>
  <c r="K93" i="2"/>
  <c r="Z92" i="2"/>
  <c r="Y92" i="2"/>
  <c r="W92" i="2"/>
  <c r="W93" i="2" s="1"/>
  <c r="U92" i="2"/>
  <c r="V92" i="2" s="1"/>
  <c r="S92" i="2"/>
  <c r="T92" i="2" s="1"/>
  <c r="O92" i="2"/>
  <c r="O93" i="2" s="1"/>
  <c r="N92" i="2"/>
  <c r="M92" i="2"/>
  <c r="L92" i="2"/>
  <c r="K92" i="2"/>
  <c r="J92" i="2"/>
  <c r="I92" i="2"/>
  <c r="H92" i="2"/>
  <c r="X91" i="2"/>
  <c r="V91" i="2"/>
  <c r="T91" i="2"/>
  <c r="R91" i="2"/>
  <c r="P91" i="2"/>
  <c r="T90" i="2"/>
  <c r="P90" i="2"/>
  <c r="X90" i="2" s="1"/>
  <c r="X89" i="2"/>
  <c r="V89" i="2"/>
  <c r="P89" i="2"/>
  <c r="T89" i="2" s="1"/>
  <c r="G89" i="2"/>
  <c r="G92" i="2" s="1"/>
  <c r="G93" i="2" s="1"/>
  <c r="X88" i="2"/>
  <c r="V88" i="2"/>
  <c r="T88" i="2"/>
  <c r="R88" i="2"/>
  <c r="Q88" i="2"/>
  <c r="Q92" i="2" s="1"/>
  <c r="R92" i="2" s="1"/>
  <c r="P88" i="2"/>
  <c r="P92" i="2" s="1"/>
  <c r="G88" i="2"/>
  <c r="W87" i="2"/>
  <c r="U87" i="2"/>
  <c r="U93" i="2" s="1"/>
  <c r="S87" i="2"/>
  <c r="Q87" i="2"/>
  <c r="O87" i="2"/>
  <c r="N87" i="2"/>
  <c r="N93" i="2" s="1"/>
  <c r="M87" i="2"/>
  <c r="M93" i="2" s="1"/>
  <c r="L87" i="2"/>
  <c r="L93" i="2" s="1"/>
  <c r="K87" i="2"/>
  <c r="J87" i="2"/>
  <c r="J93" i="2" s="1"/>
  <c r="I87" i="2"/>
  <c r="I93" i="2" s="1"/>
  <c r="H87" i="2"/>
  <c r="H93" i="2" s="1"/>
  <c r="G87" i="2"/>
  <c r="Z86" i="2"/>
  <c r="Y86" i="2"/>
  <c r="T86" i="2"/>
  <c r="P86" i="2"/>
  <c r="X86" i="2" s="1"/>
  <c r="Y85" i="2"/>
  <c r="Z85" i="2" s="1"/>
  <c r="Z87" i="2" s="1"/>
  <c r="R85" i="2"/>
  <c r="P85" i="2"/>
  <c r="X85" i="2" s="1"/>
  <c r="Z84" i="2"/>
  <c r="Y84" i="2"/>
  <c r="Y87" i="2" s="1"/>
  <c r="P84" i="2"/>
  <c r="X84" i="2" s="1"/>
  <c r="Z80" i="2"/>
  <c r="Y80" i="2"/>
  <c r="W80" i="2"/>
  <c r="U80" i="2"/>
  <c r="S80" i="2"/>
  <c r="Q80" i="2"/>
  <c r="O80" i="2"/>
  <c r="N80" i="2"/>
  <c r="M80" i="2"/>
  <c r="L80" i="2"/>
  <c r="K80" i="2"/>
  <c r="J80" i="2"/>
  <c r="I80" i="2"/>
  <c r="H80" i="2"/>
  <c r="G80" i="2"/>
  <c r="R79" i="2"/>
  <c r="P79" i="2"/>
  <c r="X79" i="2" s="1"/>
  <c r="K78" i="2"/>
  <c r="P78" i="2" s="1"/>
  <c r="Z74" i="2"/>
  <c r="Y74" i="2"/>
  <c r="X74" i="2"/>
  <c r="V74" i="2"/>
  <c r="T74" i="2"/>
  <c r="P74" i="2"/>
  <c r="R74" i="2" s="1"/>
  <c r="Y73" i="2"/>
  <c r="Z73" i="2" s="1"/>
  <c r="X73" i="2"/>
  <c r="V73" i="2"/>
  <c r="R73" i="2"/>
  <c r="P73" i="2"/>
  <c r="T73" i="2" s="1"/>
  <c r="K73" i="2"/>
  <c r="Y72" i="2"/>
  <c r="Z72" i="2" s="1"/>
  <c r="X72" i="2"/>
  <c r="V72" i="2"/>
  <c r="R72" i="2"/>
  <c r="P72" i="2"/>
  <c r="T72" i="2" s="1"/>
  <c r="K72" i="2"/>
  <c r="Z70" i="2"/>
  <c r="Y70" i="2"/>
  <c r="Y26" i="2" s="1"/>
  <c r="W70" i="2"/>
  <c r="X70" i="2" s="1"/>
  <c r="U70" i="2"/>
  <c r="S70" i="2"/>
  <c r="Q70" i="2"/>
  <c r="O70" i="2"/>
  <c r="N70" i="2"/>
  <c r="M70" i="2"/>
  <c r="L70" i="2"/>
  <c r="K70" i="2"/>
  <c r="J70" i="2"/>
  <c r="I70" i="2"/>
  <c r="H70" i="2"/>
  <c r="G70" i="2"/>
  <c r="V69" i="2"/>
  <c r="T69" i="2"/>
  <c r="P69" i="2"/>
  <c r="R69" i="2" s="1"/>
  <c r="X68" i="2"/>
  <c r="P68" i="2"/>
  <c r="V68" i="2" s="1"/>
  <c r="R67" i="2"/>
  <c r="P67" i="2"/>
  <c r="X67" i="2" s="1"/>
  <c r="X66" i="2"/>
  <c r="T66" i="2"/>
  <c r="R66" i="2"/>
  <c r="P66" i="2"/>
  <c r="P70" i="2" s="1"/>
  <c r="T70" i="2" s="1"/>
  <c r="Y62" i="2"/>
  <c r="Z62" i="2" s="1"/>
  <c r="X62" i="2"/>
  <c r="V62" i="2"/>
  <c r="R62" i="2"/>
  <c r="P62" i="2"/>
  <c r="T62" i="2" s="1"/>
  <c r="Y61" i="2"/>
  <c r="Z61" i="2" s="1"/>
  <c r="X61" i="2"/>
  <c r="P61" i="2"/>
  <c r="V61" i="2" s="1"/>
  <c r="Z60" i="2"/>
  <c r="Y60" i="2"/>
  <c r="V60" i="2"/>
  <c r="T60" i="2"/>
  <c r="R60" i="2"/>
  <c r="P60" i="2"/>
  <c r="X60" i="2" s="1"/>
  <c r="Z58" i="2"/>
  <c r="Z26" i="2" s="1"/>
  <c r="Y58" i="2"/>
  <c r="W58" i="2"/>
  <c r="U58" i="2"/>
  <c r="S58" i="2"/>
  <c r="Q58" i="2"/>
  <c r="O58" i="2"/>
  <c r="N58" i="2"/>
  <c r="N26" i="2" s="1"/>
  <c r="M58" i="2"/>
  <c r="L58" i="2"/>
  <c r="K58" i="2"/>
  <c r="J58" i="2"/>
  <c r="J26" i="2" s="1"/>
  <c r="I58" i="2"/>
  <c r="H58" i="2"/>
  <c r="G58" i="2"/>
  <c r="X57" i="2"/>
  <c r="P57" i="2"/>
  <c r="V57" i="2" s="1"/>
  <c r="R56" i="2"/>
  <c r="P56" i="2"/>
  <c r="X56" i="2" s="1"/>
  <c r="Z52" i="2"/>
  <c r="Y52" i="2"/>
  <c r="W52" i="2"/>
  <c r="U52" i="2"/>
  <c r="S52" i="2"/>
  <c r="Q52" i="2"/>
  <c r="O52" i="2"/>
  <c r="N52" i="2"/>
  <c r="M52" i="2"/>
  <c r="L52" i="2"/>
  <c r="L26" i="2" s="1"/>
  <c r="L20" i="2" s="1"/>
  <c r="K52" i="2"/>
  <c r="J52" i="2"/>
  <c r="I52" i="2"/>
  <c r="H52" i="2"/>
  <c r="H26" i="2" s="1"/>
  <c r="H20" i="2" s="1"/>
  <c r="G52" i="2"/>
  <c r="T51" i="2"/>
  <c r="P51" i="2"/>
  <c r="X51" i="2" s="1"/>
  <c r="V50" i="2"/>
  <c r="T50" i="2"/>
  <c r="P50" i="2"/>
  <c r="R50" i="2" s="1"/>
  <c r="P49" i="2"/>
  <c r="Z45" i="2"/>
  <c r="Y45" i="2"/>
  <c r="W45" i="2"/>
  <c r="U45" i="2"/>
  <c r="S45" i="2"/>
  <c r="Q45" i="2"/>
  <c r="O45" i="2"/>
  <c r="N45" i="2"/>
  <c r="M45" i="2"/>
  <c r="L45" i="2"/>
  <c r="K45" i="2"/>
  <c r="J45" i="2"/>
  <c r="I45" i="2"/>
  <c r="H45" i="2"/>
  <c r="G45" i="2"/>
  <c r="X44" i="2"/>
  <c r="V44" i="2"/>
  <c r="R44" i="2"/>
  <c r="P44" i="2"/>
  <c r="T44" i="2" s="1"/>
  <c r="T43" i="2"/>
  <c r="P43" i="2"/>
  <c r="X43" i="2" s="1"/>
  <c r="V42" i="2"/>
  <c r="T42" i="2"/>
  <c r="P42" i="2"/>
  <c r="R42" i="2" s="1"/>
  <c r="P41" i="2"/>
  <c r="X41" i="2" s="1"/>
  <c r="Z35" i="2"/>
  <c r="Y35" i="2"/>
  <c r="W35" i="2"/>
  <c r="U35" i="2"/>
  <c r="S35" i="2"/>
  <c r="Q35" i="2"/>
  <c r="O35" i="2"/>
  <c r="N35" i="2"/>
  <c r="M35" i="2"/>
  <c r="L35" i="2"/>
  <c r="K35" i="2"/>
  <c r="K26" i="2" s="1"/>
  <c r="J35" i="2"/>
  <c r="I35" i="2"/>
  <c r="H35" i="2"/>
  <c r="G35" i="2"/>
  <c r="X34" i="2"/>
  <c r="V34" i="2"/>
  <c r="R34" i="2"/>
  <c r="P34" i="2"/>
  <c r="T34" i="2" s="1"/>
  <c r="T33" i="2"/>
  <c r="P33" i="2"/>
  <c r="X33" i="2" s="1"/>
  <c r="V32" i="2"/>
  <c r="T32" i="2"/>
  <c r="P32" i="2"/>
  <c r="R32" i="2" s="1"/>
  <c r="P31" i="2"/>
  <c r="S27" i="2"/>
  <c r="W26" i="2"/>
  <c r="W27" i="2" s="1"/>
  <c r="U26" i="2"/>
  <c r="S26" i="2"/>
  <c r="S20" i="2" s="1"/>
  <c r="O26" i="2"/>
  <c r="O20" i="2" s="1"/>
  <c r="M26" i="2"/>
  <c r="I26" i="2"/>
  <c r="G26" i="2"/>
  <c r="W25" i="2"/>
  <c r="U25" i="2"/>
  <c r="U19" i="2" s="1"/>
  <c r="S25" i="2"/>
  <c r="S19" i="2" s="1"/>
  <c r="Q25" i="2"/>
  <c r="O25" i="2"/>
  <c r="O27" i="2" s="1"/>
  <c r="N25" i="2"/>
  <c r="N27" i="2" s="1"/>
  <c r="M25" i="2"/>
  <c r="M27" i="2" s="1"/>
  <c r="L25" i="2"/>
  <c r="L27" i="2" s="1"/>
  <c r="K25" i="2"/>
  <c r="J25" i="2"/>
  <c r="J27" i="2" s="1"/>
  <c r="I25" i="2"/>
  <c r="I27" i="2" s="1"/>
  <c r="H25" i="2"/>
  <c r="H27" i="2" s="1"/>
  <c r="G25" i="2"/>
  <c r="G27" i="2" s="1"/>
  <c r="J21" i="2"/>
  <c r="W20" i="2"/>
  <c r="U20" i="2"/>
  <c r="N20" i="2"/>
  <c r="M20" i="2"/>
  <c r="J20" i="2"/>
  <c r="I20" i="2"/>
  <c r="G20" i="2"/>
  <c r="W19" i="2"/>
  <c r="Q19" i="2"/>
  <c r="O19" i="2"/>
  <c r="N19" i="2"/>
  <c r="N21" i="2" s="1"/>
  <c r="M19" i="2"/>
  <c r="M21" i="2" s="1"/>
  <c r="L19" i="2"/>
  <c r="L21" i="2" s="1"/>
  <c r="K19" i="2"/>
  <c r="J19" i="2"/>
  <c r="I19" i="2"/>
  <c r="I21" i="2" s="1"/>
  <c r="H19" i="2"/>
  <c r="H21" i="2" s="1"/>
  <c r="G19" i="2"/>
  <c r="G21" i="2" s="1"/>
  <c r="Z11" i="2"/>
  <c r="Y11" i="2"/>
  <c r="Q11" i="2"/>
  <c r="J11" i="2"/>
  <c r="I11" i="2"/>
  <c r="Z10" i="2"/>
  <c r="Y10" i="2"/>
  <c r="W10" i="2"/>
  <c r="U10" i="2"/>
  <c r="U11" i="2" s="1"/>
  <c r="V11" i="2" s="1"/>
  <c r="S10" i="2"/>
  <c r="S11" i="2" s="1"/>
  <c r="T11" i="2" s="1"/>
  <c r="Q10" i="2"/>
  <c r="O10" i="2"/>
  <c r="O11" i="2" s="1"/>
  <c r="N10" i="2"/>
  <c r="N11" i="2" s="1"/>
  <c r="M10" i="2"/>
  <c r="M11" i="2" s="1"/>
  <c r="L10" i="2"/>
  <c r="L11" i="2" s="1"/>
  <c r="K10" i="2"/>
  <c r="P10" i="2" s="1"/>
  <c r="P11" i="2" s="1"/>
  <c r="J10" i="2"/>
  <c r="I10" i="2"/>
  <c r="H10" i="2"/>
  <c r="H11" i="2" s="1"/>
  <c r="G10" i="2"/>
  <c r="G11" i="2" s="1"/>
  <c r="Z8" i="2"/>
  <c r="Z14" i="2" s="1"/>
  <c r="Y8" i="2"/>
  <c r="Y14" i="2" s="1"/>
  <c r="W8" i="2"/>
  <c r="U8" i="2"/>
  <c r="V8" i="2" s="1"/>
  <c r="S8" i="2"/>
  <c r="T8" i="2" s="1"/>
  <c r="Q8" i="2"/>
  <c r="Q14" i="2" s="1"/>
  <c r="O8" i="2"/>
  <c r="O14" i="2" s="1"/>
  <c r="N8" i="2"/>
  <c r="N14" i="2" s="1"/>
  <c r="M8" i="2"/>
  <c r="M14" i="2" s="1"/>
  <c r="L8" i="2"/>
  <c r="L14" i="2" s="1"/>
  <c r="K8" i="2"/>
  <c r="P8" i="2" s="1"/>
  <c r="J8" i="2"/>
  <c r="J14" i="2" s="1"/>
  <c r="I8" i="2"/>
  <c r="I14" i="2" s="1"/>
  <c r="H8" i="2"/>
  <c r="H14" i="2" s="1"/>
  <c r="G8" i="2"/>
  <c r="G14" i="2" s="1"/>
  <c r="U7" i="2"/>
  <c r="S7" i="2"/>
  <c r="Q7" i="2"/>
  <c r="N7" i="2"/>
  <c r="M7" i="2"/>
  <c r="K7" i="2"/>
  <c r="I7" i="2"/>
  <c r="H7" i="2"/>
  <c r="Z6" i="2"/>
  <c r="Y6" i="2"/>
  <c r="W6" i="2"/>
  <c r="U6" i="2"/>
  <c r="U9" i="2" s="1"/>
  <c r="S6" i="2"/>
  <c r="S9" i="2" s="1"/>
  <c r="Q6" i="2"/>
  <c r="Q9" i="2" s="1"/>
  <c r="O6" i="2"/>
  <c r="N6" i="2"/>
  <c r="N9" i="2" s="1"/>
  <c r="M6" i="2"/>
  <c r="M9" i="2" s="1"/>
  <c r="L6" i="2"/>
  <c r="K6" i="2"/>
  <c r="P6" i="2" s="1"/>
  <c r="J6" i="2"/>
  <c r="I6" i="2"/>
  <c r="I9" i="2" s="1"/>
  <c r="H6" i="2"/>
  <c r="H9" i="2" s="1"/>
  <c r="G6" i="2"/>
  <c r="W3" i="2"/>
  <c r="W12" i="2" s="1"/>
  <c r="L3" i="2"/>
  <c r="U109" i="1"/>
  <c r="S109" i="1"/>
  <c r="O109" i="1"/>
  <c r="M109" i="1"/>
  <c r="Q109" i="1" s="1"/>
  <c r="M108" i="1"/>
  <c r="U108" i="1" s="1"/>
  <c r="S107" i="1"/>
  <c r="O107" i="1"/>
  <c r="M107" i="1"/>
  <c r="U107" i="1" s="1"/>
  <c r="S106" i="1"/>
  <c r="Q106" i="1"/>
  <c r="M106" i="1"/>
  <c r="U106" i="1" s="1"/>
  <c r="S105" i="1"/>
  <c r="M105" i="1"/>
  <c r="Q105" i="1" s="1"/>
  <c r="W103" i="1"/>
  <c r="V103" i="1"/>
  <c r="T103" i="1"/>
  <c r="P103" i="1"/>
  <c r="L103" i="1"/>
  <c r="K103" i="1"/>
  <c r="J103" i="1"/>
  <c r="I103" i="1"/>
  <c r="H103" i="1"/>
  <c r="G103" i="1"/>
  <c r="M102" i="1"/>
  <c r="U102" i="1" s="1"/>
  <c r="R101" i="1"/>
  <c r="P101" i="1"/>
  <c r="N101" i="1"/>
  <c r="O101" i="1" s="1"/>
  <c r="M101" i="1"/>
  <c r="Q101" i="1" s="1"/>
  <c r="H101" i="1"/>
  <c r="G101" i="1"/>
  <c r="F101" i="1"/>
  <c r="E101" i="1"/>
  <c r="D101" i="1"/>
  <c r="D103" i="1" s="1"/>
  <c r="U100" i="1"/>
  <c r="R100" i="1"/>
  <c r="R103" i="1" s="1"/>
  <c r="P100" i="1"/>
  <c r="Q100" i="1" s="1"/>
  <c r="N100" i="1"/>
  <c r="N103" i="1" s="1"/>
  <c r="M100" i="1"/>
  <c r="G100" i="1"/>
  <c r="F100" i="1"/>
  <c r="F103" i="1" s="1"/>
  <c r="E100" i="1"/>
  <c r="E103" i="1" s="1"/>
  <c r="T96" i="1"/>
  <c r="T68" i="1" s="1"/>
  <c r="R96" i="1"/>
  <c r="P96" i="1"/>
  <c r="N96" i="1"/>
  <c r="L96" i="1"/>
  <c r="L68" i="1" s="1"/>
  <c r="L69" i="1" s="1"/>
  <c r="K96" i="1"/>
  <c r="J96" i="1"/>
  <c r="I96" i="1"/>
  <c r="H96" i="1"/>
  <c r="H68" i="1" s="1"/>
  <c r="H69" i="1" s="1"/>
  <c r="F96" i="1"/>
  <c r="E96" i="1"/>
  <c r="D96" i="1"/>
  <c r="D68" i="1" s="1"/>
  <c r="D69" i="1" s="1"/>
  <c r="W95" i="1"/>
  <c r="S95" i="1"/>
  <c r="Q95" i="1"/>
  <c r="M95" i="1"/>
  <c r="U95" i="1" s="1"/>
  <c r="V94" i="1"/>
  <c r="W94" i="1" s="1"/>
  <c r="S94" i="1"/>
  <c r="Q94" i="1"/>
  <c r="O94" i="1"/>
  <c r="M94" i="1"/>
  <c r="U94" i="1" s="1"/>
  <c r="W93" i="1"/>
  <c r="R93" i="1"/>
  <c r="P93" i="1"/>
  <c r="Q93" i="1" s="1"/>
  <c r="O93" i="1"/>
  <c r="L93" i="1"/>
  <c r="M93" i="1" s="1"/>
  <c r="V92" i="1"/>
  <c r="W92" i="1" s="1"/>
  <c r="S92" i="1"/>
  <c r="Q92" i="1"/>
  <c r="O92" i="1"/>
  <c r="M92" i="1"/>
  <c r="U92" i="1" s="1"/>
  <c r="W91" i="1"/>
  <c r="V91" i="1"/>
  <c r="M91" i="1"/>
  <c r="V90" i="1"/>
  <c r="W90" i="1" s="1"/>
  <c r="S90" i="1"/>
  <c r="M90" i="1"/>
  <c r="Q90" i="1" s="1"/>
  <c r="W89" i="1"/>
  <c r="V89" i="1"/>
  <c r="Q89" i="1"/>
  <c r="M89" i="1"/>
  <c r="O89" i="1" s="1"/>
  <c r="V88" i="1"/>
  <c r="W88" i="1" s="1"/>
  <c r="U88" i="1"/>
  <c r="S88" i="1"/>
  <c r="O88" i="1"/>
  <c r="M88" i="1"/>
  <c r="Q88" i="1" s="1"/>
  <c r="V87" i="1"/>
  <c r="W87" i="1" s="1"/>
  <c r="U87" i="1"/>
  <c r="M87" i="1"/>
  <c r="S87" i="1" s="1"/>
  <c r="V86" i="1"/>
  <c r="W86" i="1" s="1"/>
  <c r="U86" i="1"/>
  <c r="S86" i="1"/>
  <c r="O86" i="1"/>
  <c r="M86" i="1"/>
  <c r="Q86" i="1" s="1"/>
  <c r="W85" i="1"/>
  <c r="V85" i="1"/>
  <c r="S85" i="1"/>
  <c r="Q85" i="1"/>
  <c r="M85" i="1"/>
  <c r="U85" i="1" s="1"/>
  <c r="V84" i="1"/>
  <c r="W84" i="1" s="1"/>
  <c r="S84" i="1"/>
  <c r="Q84" i="1"/>
  <c r="O84" i="1"/>
  <c r="M84" i="1"/>
  <c r="U84" i="1" s="1"/>
  <c r="W83" i="1"/>
  <c r="V83" i="1"/>
  <c r="M83" i="1"/>
  <c r="V82" i="1"/>
  <c r="W82" i="1" s="1"/>
  <c r="S82" i="1"/>
  <c r="M82" i="1"/>
  <c r="Q82" i="1" s="1"/>
  <c r="W81" i="1"/>
  <c r="V81" i="1"/>
  <c r="U81" i="1"/>
  <c r="Q81" i="1"/>
  <c r="M81" i="1"/>
  <c r="O81" i="1" s="1"/>
  <c r="V80" i="1"/>
  <c r="W80" i="1" s="1"/>
  <c r="S80" i="1"/>
  <c r="O80" i="1"/>
  <c r="M80" i="1"/>
  <c r="U80" i="1" s="1"/>
  <c r="V79" i="1"/>
  <c r="W79" i="1" s="1"/>
  <c r="M79" i="1"/>
  <c r="V78" i="1"/>
  <c r="W78" i="1" s="1"/>
  <c r="U78" i="1"/>
  <c r="S78" i="1"/>
  <c r="Q78" i="1"/>
  <c r="O78" i="1"/>
  <c r="M78" i="1"/>
  <c r="W77" i="1"/>
  <c r="V77" i="1"/>
  <c r="S77" i="1"/>
  <c r="Q77" i="1"/>
  <c r="M77" i="1"/>
  <c r="U77" i="1" s="1"/>
  <c r="V76" i="1"/>
  <c r="W76" i="1" s="1"/>
  <c r="S76" i="1"/>
  <c r="Q76" i="1"/>
  <c r="O76" i="1"/>
  <c r="M76" i="1"/>
  <c r="U76" i="1" s="1"/>
  <c r="W75" i="1"/>
  <c r="V75" i="1"/>
  <c r="M75" i="1"/>
  <c r="V74" i="1"/>
  <c r="W74" i="1" s="1"/>
  <c r="S74" i="1"/>
  <c r="M74" i="1"/>
  <c r="Q74" i="1" s="1"/>
  <c r="G74" i="1"/>
  <c r="G96" i="1" s="1"/>
  <c r="G68" i="1" s="1"/>
  <c r="G69" i="1" s="1"/>
  <c r="D74" i="1"/>
  <c r="Q73" i="1"/>
  <c r="M73" i="1"/>
  <c r="O73" i="1" s="1"/>
  <c r="R69" i="1"/>
  <c r="N69" i="1"/>
  <c r="F69" i="1"/>
  <c r="R68" i="1"/>
  <c r="N68" i="1"/>
  <c r="K68" i="1"/>
  <c r="K69" i="1" s="1"/>
  <c r="J68" i="1"/>
  <c r="J69" i="1" s="1"/>
  <c r="I68" i="1"/>
  <c r="I69" i="1" s="1"/>
  <c r="F68" i="1"/>
  <c r="E68" i="1"/>
  <c r="E69" i="1" s="1"/>
  <c r="V64" i="1"/>
  <c r="W64" i="1" s="1"/>
  <c r="S64" i="1"/>
  <c r="O64" i="1"/>
  <c r="M64" i="1"/>
  <c r="U64" i="1" s="1"/>
  <c r="S63" i="1"/>
  <c r="Q63" i="1"/>
  <c r="M63" i="1"/>
  <c r="U63" i="1" s="1"/>
  <c r="J63" i="1"/>
  <c r="W62" i="1"/>
  <c r="V62" i="1"/>
  <c r="S62" i="1"/>
  <c r="Q62" i="1"/>
  <c r="M62" i="1"/>
  <c r="U62" i="1" s="1"/>
  <c r="V61" i="1"/>
  <c r="W61" i="1" s="1"/>
  <c r="S61" i="1"/>
  <c r="Q61" i="1"/>
  <c r="O61" i="1"/>
  <c r="M61" i="1"/>
  <c r="U61" i="1" s="1"/>
  <c r="W60" i="1"/>
  <c r="V60" i="1"/>
  <c r="U60" i="1"/>
  <c r="M60" i="1"/>
  <c r="V59" i="1"/>
  <c r="W59" i="1" s="1"/>
  <c r="S59" i="1"/>
  <c r="M59" i="1"/>
  <c r="Q59" i="1" s="1"/>
  <c r="W58" i="1"/>
  <c r="V58" i="1"/>
  <c r="U58" i="1"/>
  <c r="Q58" i="1"/>
  <c r="M58" i="1"/>
  <c r="O58" i="1" s="1"/>
  <c r="U57" i="1"/>
  <c r="S57" i="1"/>
  <c r="O57" i="1"/>
  <c r="M57" i="1"/>
  <c r="Q57" i="1" s="1"/>
  <c r="W56" i="1"/>
  <c r="V56" i="1"/>
  <c r="S56" i="1"/>
  <c r="Q56" i="1"/>
  <c r="M56" i="1"/>
  <c r="U56" i="1" s="1"/>
  <c r="V55" i="1"/>
  <c r="W55" i="1" s="1"/>
  <c r="S55" i="1"/>
  <c r="Q55" i="1"/>
  <c r="O55" i="1"/>
  <c r="M55" i="1"/>
  <c r="U55" i="1" s="1"/>
  <c r="W54" i="1"/>
  <c r="V54" i="1"/>
  <c r="M54" i="1"/>
  <c r="O54" i="1" s="1"/>
  <c r="V53" i="1"/>
  <c r="W53" i="1" s="1"/>
  <c r="M53" i="1"/>
  <c r="W52" i="1"/>
  <c r="V52" i="1"/>
  <c r="P52" i="1"/>
  <c r="N52" i="1"/>
  <c r="O52" i="1" s="1"/>
  <c r="M52" i="1"/>
  <c r="V51" i="1"/>
  <c r="W51" i="1" s="1"/>
  <c r="M51" i="1"/>
  <c r="S51" i="1" s="1"/>
  <c r="T49" i="1"/>
  <c r="R49" i="1"/>
  <c r="P49" i="1"/>
  <c r="N49" i="1"/>
  <c r="K49" i="1"/>
  <c r="K38" i="1" s="1"/>
  <c r="K39" i="1" s="1"/>
  <c r="I49" i="1"/>
  <c r="H49" i="1"/>
  <c r="G49" i="1"/>
  <c r="F49" i="1"/>
  <c r="E49" i="1"/>
  <c r="D49" i="1"/>
  <c r="W48" i="1"/>
  <c r="V48" i="1"/>
  <c r="S48" i="1"/>
  <c r="Q48" i="1"/>
  <c r="M48" i="1"/>
  <c r="U48" i="1" s="1"/>
  <c r="G48" i="1"/>
  <c r="W47" i="1"/>
  <c r="V47" i="1"/>
  <c r="Q47" i="1"/>
  <c r="M47" i="1"/>
  <c r="S47" i="1" s="1"/>
  <c r="J47" i="1"/>
  <c r="J49" i="1" s="1"/>
  <c r="J38" i="1" s="1"/>
  <c r="W46" i="1"/>
  <c r="V46" i="1"/>
  <c r="M46" i="1"/>
  <c r="O46" i="1" s="1"/>
  <c r="M45" i="1"/>
  <c r="W44" i="1"/>
  <c r="V44" i="1"/>
  <c r="M44" i="1"/>
  <c r="U44" i="1" s="1"/>
  <c r="L44" i="1"/>
  <c r="L49" i="1" s="1"/>
  <c r="W43" i="1"/>
  <c r="W49" i="1" s="1"/>
  <c r="W38" i="1" s="1"/>
  <c r="W39" i="1" s="1"/>
  <c r="V43" i="1"/>
  <c r="V49" i="1" s="1"/>
  <c r="U43" i="1"/>
  <c r="Q43" i="1"/>
  <c r="M43" i="1"/>
  <c r="P39" i="1"/>
  <c r="V38" i="1"/>
  <c r="V39" i="1" s="1"/>
  <c r="T38" i="1"/>
  <c r="R38" i="1"/>
  <c r="R39" i="1" s="1"/>
  <c r="P38" i="1"/>
  <c r="N38" i="1"/>
  <c r="L38" i="1"/>
  <c r="L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T34" i="1"/>
  <c r="T20" i="1" s="1"/>
  <c r="R34" i="1"/>
  <c r="P34" i="1"/>
  <c r="N34" i="1"/>
  <c r="L34" i="1"/>
  <c r="L20" i="1" s="1"/>
  <c r="K34" i="1"/>
  <c r="J34" i="1"/>
  <c r="I34" i="1"/>
  <c r="I20" i="1" s="1"/>
  <c r="H34" i="1"/>
  <c r="H20" i="1" s="1"/>
  <c r="G34" i="1"/>
  <c r="F34" i="1"/>
  <c r="E34" i="1"/>
  <c r="D34" i="1"/>
  <c r="D20" i="1" s="1"/>
  <c r="W33" i="1"/>
  <c r="V33" i="1"/>
  <c r="U33" i="1"/>
  <c r="S33" i="1"/>
  <c r="Q33" i="1"/>
  <c r="M33" i="1"/>
  <c r="O33" i="1" s="1"/>
  <c r="W32" i="1"/>
  <c r="V32" i="1"/>
  <c r="U32" i="1"/>
  <c r="S32" i="1"/>
  <c r="Q32" i="1"/>
  <c r="O32" i="1"/>
  <c r="M32" i="1"/>
  <c r="S31" i="1"/>
  <c r="M31" i="1"/>
  <c r="Q31" i="1" s="1"/>
  <c r="U30" i="1"/>
  <c r="M30" i="1"/>
  <c r="S30" i="1" s="1"/>
  <c r="W29" i="1"/>
  <c r="V29" i="1"/>
  <c r="U29" i="1"/>
  <c r="S29" i="1"/>
  <c r="Q29" i="1"/>
  <c r="M29" i="1"/>
  <c r="O29" i="1" s="1"/>
  <c r="W28" i="1"/>
  <c r="V28" i="1"/>
  <c r="U28" i="1"/>
  <c r="S28" i="1"/>
  <c r="Q28" i="1"/>
  <c r="O28" i="1"/>
  <c r="M28" i="1"/>
  <c r="V27" i="1"/>
  <c r="W27" i="1" s="1"/>
  <c r="Q27" i="1"/>
  <c r="O27" i="1"/>
  <c r="M27" i="1"/>
  <c r="U27" i="1" s="1"/>
  <c r="V26" i="1"/>
  <c r="W26" i="1" s="1"/>
  <c r="M26" i="1"/>
  <c r="S26" i="1" s="1"/>
  <c r="W25" i="1"/>
  <c r="V25" i="1"/>
  <c r="V34" i="1" s="1"/>
  <c r="V20" i="1" s="1"/>
  <c r="S25" i="1"/>
  <c r="M25" i="1"/>
  <c r="Q25" i="1" s="1"/>
  <c r="N21" i="1"/>
  <c r="G21" i="1"/>
  <c r="F21" i="1"/>
  <c r="R20" i="1"/>
  <c r="R21" i="1" s="1"/>
  <c r="N20" i="1"/>
  <c r="K20" i="1"/>
  <c r="K21" i="1" s="1"/>
  <c r="J20" i="1"/>
  <c r="J21" i="1" s="1"/>
  <c r="G20" i="1"/>
  <c r="G4" i="1" s="1"/>
  <c r="G14" i="1" s="1"/>
  <c r="F20" i="1"/>
  <c r="E20" i="1"/>
  <c r="E21" i="1" s="1"/>
  <c r="W11" i="1"/>
  <c r="W15" i="1" s="1"/>
  <c r="V11" i="1"/>
  <c r="V15" i="1" s="1"/>
  <c r="T11" i="1"/>
  <c r="R11" i="1"/>
  <c r="R15" i="1" s="1"/>
  <c r="P11" i="1"/>
  <c r="Q11" i="1" s="1"/>
  <c r="N11" i="1"/>
  <c r="N15" i="1" s="1"/>
  <c r="L11" i="1"/>
  <c r="L15" i="1" s="1"/>
  <c r="K11" i="1"/>
  <c r="K15" i="1" s="1"/>
  <c r="J11" i="1"/>
  <c r="J15" i="1" s="1"/>
  <c r="I11" i="1"/>
  <c r="I15" i="1" s="1"/>
  <c r="H11" i="1"/>
  <c r="M11" i="1" s="1"/>
  <c r="G11" i="1"/>
  <c r="G15" i="1" s="1"/>
  <c r="F11" i="1"/>
  <c r="F15" i="1" s="1"/>
  <c r="E11" i="1"/>
  <c r="E15" i="1" s="1"/>
  <c r="D11" i="1"/>
  <c r="D15" i="1" s="1"/>
  <c r="W10" i="1"/>
  <c r="W12" i="1" s="1"/>
  <c r="V10" i="1"/>
  <c r="T10" i="1"/>
  <c r="R10" i="1"/>
  <c r="P10" i="1"/>
  <c r="N10" i="1"/>
  <c r="L10" i="1"/>
  <c r="K10" i="1"/>
  <c r="J10" i="1"/>
  <c r="I10" i="1"/>
  <c r="H10" i="1"/>
  <c r="H12" i="1" s="1"/>
  <c r="G10" i="1"/>
  <c r="G12" i="1" s="1"/>
  <c r="F10" i="1"/>
  <c r="E10" i="1"/>
  <c r="D10" i="1"/>
  <c r="W9" i="1"/>
  <c r="V9" i="1"/>
  <c r="V12" i="1" s="1"/>
  <c r="T9" i="1"/>
  <c r="R9" i="1"/>
  <c r="R12" i="1" s="1"/>
  <c r="P9" i="1"/>
  <c r="N9" i="1"/>
  <c r="N12" i="1" s="1"/>
  <c r="L9" i="1"/>
  <c r="L12" i="1" s="1"/>
  <c r="K9" i="1"/>
  <c r="K13" i="1" s="1"/>
  <c r="J9" i="1"/>
  <c r="J12" i="1" s="1"/>
  <c r="I9" i="1"/>
  <c r="I12" i="1" s="1"/>
  <c r="H9" i="1"/>
  <c r="M9" i="1" s="1"/>
  <c r="G9" i="1"/>
  <c r="G13" i="1" s="1"/>
  <c r="F9" i="1"/>
  <c r="F12" i="1" s="1"/>
  <c r="E9" i="1"/>
  <c r="E12" i="1" s="1"/>
  <c r="D9" i="1"/>
  <c r="D12" i="1" s="1"/>
  <c r="W8" i="1"/>
  <c r="V8" i="1"/>
  <c r="N8" i="1"/>
  <c r="L8" i="1"/>
  <c r="K8" i="1"/>
  <c r="J8" i="1"/>
  <c r="I8" i="1"/>
  <c r="H8" i="1"/>
  <c r="G8" i="1"/>
  <c r="F8" i="1"/>
  <c r="D8" i="1"/>
  <c r="M7" i="1"/>
  <c r="S7" i="1" s="1"/>
  <c r="E7" i="1"/>
  <c r="T6" i="1"/>
  <c r="U6" i="1" s="1"/>
  <c r="S6" i="1"/>
  <c r="R6" i="1"/>
  <c r="R8" i="1" s="1"/>
  <c r="S8" i="1" s="1"/>
  <c r="P6" i="1"/>
  <c r="Q6" i="1" s="1"/>
  <c r="O6" i="1"/>
  <c r="M6" i="1"/>
  <c r="M8" i="1" s="1"/>
  <c r="O8" i="1" s="1"/>
  <c r="E6" i="1"/>
  <c r="E8" i="1" s="1"/>
  <c r="R4" i="1"/>
  <c r="R14" i="1" s="1"/>
  <c r="N4" i="1"/>
  <c r="F4" i="1"/>
  <c r="F14" i="1" s="1"/>
  <c r="E4" i="1"/>
  <c r="E14" i="1" s="1"/>
  <c r="T3" i="1"/>
  <c r="R3" i="1"/>
  <c r="R5" i="1" s="1"/>
  <c r="N3" i="1"/>
  <c r="N13" i="1" s="1"/>
  <c r="L3" i="1"/>
  <c r="K3" i="1"/>
  <c r="J3" i="1"/>
  <c r="J13" i="1" s="1"/>
  <c r="I3" i="1"/>
  <c r="M3" i="1" s="1"/>
  <c r="H3" i="1"/>
  <c r="G3" i="1"/>
  <c r="G5" i="1" s="1"/>
  <c r="F3" i="1"/>
  <c r="F13" i="1" s="1"/>
  <c r="E3" i="1"/>
  <c r="E5" i="1" s="1"/>
  <c r="Q9" i="1" l="1"/>
  <c r="S11" i="1"/>
  <c r="O11" i="1"/>
  <c r="U11" i="1"/>
  <c r="W34" i="1"/>
  <c r="W20" i="1" s="1"/>
  <c r="U3" i="1"/>
  <c r="V4" i="1"/>
  <c r="V14" i="1" s="1"/>
  <c r="V21" i="1"/>
  <c r="G16" i="1"/>
  <c r="M20" i="1"/>
  <c r="H4" i="1"/>
  <c r="H21" i="1"/>
  <c r="T4" i="1"/>
  <c r="T5" i="1" s="1"/>
  <c r="T21" i="1"/>
  <c r="S9" i="1"/>
  <c r="O9" i="1"/>
  <c r="I4" i="1"/>
  <c r="I14" i="1" s="1"/>
  <c r="I21" i="1"/>
  <c r="L5" i="1"/>
  <c r="U9" i="1"/>
  <c r="F16" i="1"/>
  <c r="J4" i="1"/>
  <c r="J14" i="1" s="1"/>
  <c r="J16" i="1" s="1"/>
  <c r="J39" i="1"/>
  <c r="D4" i="1"/>
  <c r="D14" i="1" s="1"/>
  <c r="D21" i="1"/>
  <c r="L4" i="1"/>
  <c r="L14" i="1" s="1"/>
  <c r="L21" i="1"/>
  <c r="H5" i="1"/>
  <c r="N5" i="1"/>
  <c r="K12" i="1"/>
  <c r="K4" i="1"/>
  <c r="K14" i="1" s="1"/>
  <c r="K16" i="1" s="1"/>
  <c r="T8" i="1"/>
  <c r="U8" i="1" s="1"/>
  <c r="T12" i="1"/>
  <c r="H13" i="1"/>
  <c r="H15" i="1"/>
  <c r="M15" i="1" s="1"/>
  <c r="S15" i="1" s="1"/>
  <c r="P15" i="1"/>
  <c r="P20" i="1"/>
  <c r="U25" i="1"/>
  <c r="O30" i="1"/>
  <c r="U31" i="1"/>
  <c r="M34" i="1"/>
  <c r="U34" i="1" s="1"/>
  <c r="Q44" i="1"/>
  <c r="Q46" i="1"/>
  <c r="Q53" i="1"/>
  <c r="O53" i="1"/>
  <c r="U53" i="1"/>
  <c r="S75" i="1"/>
  <c r="Q75" i="1"/>
  <c r="O75" i="1"/>
  <c r="K21" i="2"/>
  <c r="W96" i="1"/>
  <c r="W68" i="1" s="1"/>
  <c r="O3" i="1"/>
  <c r="M10" i="1"/>
  <c r="U10" i="1" s="1"/>
  <c r="I13" i="1"/>
  <c r="I16" i="1" s="1"/>
  <c r="Q30" i="1"/>
  <c r="O43" i="1"/>
  <c r="M49" i="1"/>
  <c r="S43" i="1"/>
  <c r="S46" i="1"/>
  <c r="S53" i="1"/>
  <c r="U75" i="1"/>
  <c r="R10" i="2"/>
  <c r="R11" i="2"/>
  <c r="S21" i="2"/>
  <c r="F5" i="1"/>
  <c r="U7" i="1"/>
  <c r="U26" i="1"/>
  <c r="O44" i="1"/>
  <c r="S44" i="1"/>
  <c r="I5" i="1"/>
  <c r="R13" i="1"/>
  <c r="N14" i="1"/>
  <c r="N16" i="1" s="1"/>
  <c r="N39" i="1"/>
  <c r="U46" i="1"/>
  <c r="Q49" i="1"/>
  <c r="U52" i="1"/>
  <c r="S52" i="1"/>
  <c r="R14" i="2"/>
  <c r="U21" i="2"/>
  <c r="P26" i="2"/>
  <c r="T26" i="2" s="1"/>
  <c r="K20" i="2"/>
  <c r="K27" i="2"/>
  <c r="S83" i="1"/>
  <c r="Q83" i="1"/>
  <c r="O83" i="1"/>
  <c r="O103" i="1"/>
  <c r="S3" i="1"/>
  <c r="P12" i="1"/>
  <c r="L13" i="1"/>
  <c r="L16" i="1" s="1"/>
  <c r="T13" i="1"/>
  <c r="T15" i="1"/>
  <c r="U15" i="1" s="1"/>
  <c r="O26" i="1"/>
  <c r="Q45" i="1"/>
  <c r="U45" i="1"/>
  <c r="S79" i="1"/>
  <c r="Q79" i="1"/>
  <c r="O79" i="1"/>
  <c r="U83" i="1"/>
  <c r="X10" i="2"/>
  <c r="O21" i="2"/>
  <c r="S54" i="1"/>
  <c r="Q54" i="1"/>
  <c r="O7" i="1"/>
  <c r="P8" i="1"/>
  <c r="Q8" i="1" s="1"/>
  <c r="D3" i="1"/>
  <c r="Q7" i="1"/>
  <c r="E13" i="1"/>
  <c r="E16" i="1" s="1"/>
  <c r="O25" i="1"/>
  <c r="Q26" i="1"/>
  <c r="S27" i="1"/>
  <c r="O31" i="1"/>
  <c r="O45" i="1"/>
  <c r="Q52" i="1"/>
  <c r="U54" i="1"/>
  <c r="U79" i="1"/>
  <c r="U91" i="1"/>
  <c r="S91" i="1"/>
  <c r="Q91" i="1"/>
  <c r="O91" i="1"/>
  <c r="S93" i="1"/>
  <c r="U93" i="1"/>
  <c r="S103" i="1"/>
  <c r="X8" i="2"/>
  <c r="T39" i="1"/>
  <c r="S45" i="1"/>
  <c r="U47" i="1"/>
  <c r="O47" i="1"/>
  <c r="S60" i="1"/>
  <c r="Q60" i="1"/>
  <c r="O60" i="1"/>
  <c r="T69" i="1"/>
  <c r="X6" i="2"/>
  <c r="Q51" i="1"/>
  <c r="O51" i="1"/>
  <c r="U51" i="1"/>
  <c r="S58" i="1"/>
  <c r="U59" i="1"/>
  <c r="Q64" i="1"/>
  <c r="S73" i="1"/>
  <c r="U74" i="1"/>
  <c r="Q80" i="1"/>
  <c r="S81" i="1"/>
  <c r="U82" i="1"/>
  <c r="O87" i="1"/>
  <c r="S89" i="1"/>
  <c r="U90" i="1"/>
  <c r="M96" i="1"/>
  <c r="M68" i="1" s="1"/>
  <c r="M69" i="1" s="1"/>
  <c r="S69" i="1" s="1"/>
  <c r="O100" i="1"/>
  <c r="U105" i="1"/>
  <c r="Q107" i="1"/>
  <c r="R6" i="2"/>
  <c r="R8" i="2"/>
  <c r="R70" i="2"/>
  <c r="T78" i="2"/>
  <c r="R78" i="2"/>
  <c r="X78" i="2"/>
  <c r="P80" i="2"/>
  <c r="V80" i="2" s="1"/>
  <c r="V78" i="2"/>
  <c r="X123" i="2"/>
  <c r="Y142" i="2"/>
  <c r="Y127" i="2"/>
  <c r="G155" i="2"/>
  <c r="G127" i="2"/>
  <c r="P68" i="1"/>
  <c r="U73" i="1"/>
  <c r="Q87" i="1"/>
  <c r="U89" i="1"/>
  <c r="V96" i="1"/>
  <c r="V68" i="1" s="1"/>
  <c r="S101" i="1"/>
  <c r="M103" i="1"/>
  <c r="U103" i="1" s="1"/>
  <c r="W11" i="2"/>
  <c r="X11" i="2" s="1"/>
  <c r="K14" i="2"/>
  <c r="P14" i="2" s="1"/>
  <c r="S14" i="2"/>
  <c r="T14" i="2" s="1"/>
  <c r="P19" i="2"/>
  <c r="T19" i="2" s="1"/>
  <c r="V49" i="2"/>
  <c r="T49" i="2"/>
  <c r="R49" i="2"/>
  <c r="P52" i="2"/>
  <c r="H155" i="2"/>
  <c r="H127" i="2"/>
  <c r="O48" i="1"/>
  <c r="O56" i="1"/>
  <c r="O62" i="1"/>
  <c r="O63" i="1"/>
  <c r="O77" i="1"/>
  <c r="O85" i="1"/>
  <c r="O95" i="1"/>
  <c r="U101" i="1"/>
  <c r="O106" i="1"/>
  <c r="T6" i="2"/>
  <c r="T10" i="2"/>
  <c r="L12" i="2"/>
  <c r="X49" i="2"/>
  <c r="V70" i="2"/>
  <c r="U14" i="2"/>
  <c r="V14" i="2" s="1"/>
  <c r="Y25" i="2"/>
  <c r="Y93" i="2"/>
  <c r="Z153" i="2"/>
  <c r="Z154" i="2" s="1"/>
  <c r="Z128" i="2" s="1"/>
  <c r="Y154" i="2"/>
  <c r="Y128" i="2" s="1"/>
  <c r="X161" i="2"/>
  <c r="T161" i="2"/>
  <c r="S100" i="1"/>
  <c r="O102" i="1"/>
  <c r="O108" i="1"/>
  <c r="V6" i="2"/>
  <c r="V10" i="2"/>
  <c r="Q26" i="2"/>
  <c r="R80" i="2"/>
  <c r="R123" i="2"/>
  <c r="V123" i="2"/>
  <c r="P142" i="2"/>
  <c r="T142" i="2" s="1"/>
  <c r="T136" i="2"/>
  <c r="O59" i="1"/>
  <c r="O74" i="1"/>
  <c r="O82" i="1"/>
  <c r="O90" i="1"/>
  <c r="Q102" i="1"/>
  <c r="O105" i="1"/>
  <c r="Q108" i="1"/>
  <c r="K9" i="2"/>
  <c r="K11" i="2"/>
  <c r="W14" i="2"/>
  <c r="X14" i="2" s="1"/>
  <c r="U27" i="2"/>
  <c r="P35" i="2"/>
  <c r="T35" i="2" s="1"/>
  <c r="V31" i="2"/>
  <c r="T31" i="2"/>
  <c r="R31" i="2"/>
  <c r="V52" i="2"/>
  <c r="Z20" i="2"/>
  <c r="T80" i="2"/>
  <c r="Q93" i="2"/>
  <c r="X136" i="2"/>
  <c r="V141" i="2"/>
  <c r="S102" i="1"/>
  <c r="S108" i="1"/>
  <c r="P25" i="2"/>
  <c r="P27" i="2" s="1"/>
  <c r="X27" i="2" s="1"/>
  <c r="X31" i="2"/>
  <c r="T87" i="2"/>
  <c r="T123" i="2"/>
  <c r="T141" i="2"/>
  <c r="X141" i="2"/>
  <c r="W21" i="2"/>
  <c r="X26" i="2"/>
  <c r="P45" i="2"/>
  <c r="R45" i="2" s="1"/>
  <c r="V41" i="2"/>
  <c r="T41" i="2"/>
  <c r="R41" i="2"/>
  <c r="X80" i="2"/>
  <c r="Z25" i="2"/>
  <c r="Z93" i="2"/>
  <c r="Y155" i="2"/>
  <c r="X32" i="2"/>
  <c r="X42" i="2"/>
  <c r="X50" i="2"/>
  <c r="R57" i="2"/>
  <c r="R61" i="2"/>
  <c r="V66" i="2"/>
  <c r="R68" i="2"/>
  <c r="X69" i="2"/>
  <c r="R99" i="2"/>
  <c r="R108" i="2"/>
  <c r="K128" i="2"/>
  <c r="K129" i="2" s="1"/>
  <c r="S128" i="2"/>
  <c r="W129" i="2"/>
  <c r="R136" i="2"/>
  <c r="R141" i="2"/>
  <c r="Z147" i="2"/>
  <c r="Z149" i="2" s="1"/>
  <c r="P153" i="2"/>
  <c r="P154" i="2" s="1"/>
  <c r="R159" i="2"/>
  <c r="V161" i="2"/>
  <c r="R164" i="2"/>
  <c r="V184" i="2"/>
  <c r="T184" i="2"/>
  <c r="R184" i="2"/>
  <c r="H265" i="2"/>
  <c r="H223" i="2"/>
  <c r="H4" i="2" s="1"/>
  <c r="H13" i="2" s="1"/>
  <c r="Q222" i="2"/>
  <c r="T57" i="2"/>
  <c r="T61" i="2"/>
  <c r="T68" i="2"/>
  <c r="P87" i="2"/>
  <c r="T99" i="2"/>
  <c r="P102" i="2"/>
  <c r="X102" i="2" s="1"/>
  <c r="R107" i="2"/>
  <c r="T108" i="2"/>
  <c r="P112" i="2"/>
  <c r="X112" i="2" s="1"/>
  <c r="R121" i="2"/>
  <c r="R140" i="2"/>
  <c r="W142" i="2"/>
  <c r="X148" i="2"/>
  <c r="R150" i="2"/>
  <c r="X151" i="2"/>
  <c r="T159" i="2"/>
  <c r="X162" i="2"/>
  <c r="T164" i="2"/>
  <c r="X184" i="2"/>
  <c r="U194" i="2"/>
  <c r="S230" i="2"/>
  <c r="K223" i="2"/>
  <c r="X251" i="2"/>
  <c r="S264" i="2"/>
  <c r="R33" i="2"/>
  <c r="R43" i="2"/>
  <c r="R51" i="2"/>
  <c r="R86" i="2"/>
  <c r="R90" i="2"/>
  <c r="Z97" i="2"/>
  <c r="Z98" i="2" s="1"/>
  <c r="Z103" i="2" s="1"/>
  <c r="T107" i="2"/>
  <c r="R111" i="2"/>
  <c r="Y112" i="2"/>
  <c r="Y20" i="2" s="1"/>
  <c r="T121" i="2"/>
  <c r="I127" i="2"/>
  <c r="Q127" i="2"/>
  <c r="U128" i="2"/>
  <c r="V159" i="2"/>
  <c r="P166" i="2"/>
  <c r="X166" i="2" s="1"/>
  <c r="X178" i="2"/>
  <c r="T178" i="2"/>
  <c r="K194" i="2"/>
  <c r="K195" i="2" s="1"/>
  <c r="K224" i="2"/>
  <c r="U264" i="2"/>
  <c r="V176" i="2"/>
  <c r="R176" i="2"/>
  <c r="P180" i="2"/>
  <c r="P264" i="2"/>
  <c r="P265" i="2" s="1"/>
  <c r="K265" i="2"/>
  <c r="V33" i="2"/>
  <c r="V43" i="2"/>
  <c r="V51" i="2"/>
  <c r="T56" i="2"/>
  <c r="T67" i="2"/>
  <c r="T79" i="2"/>
  <c r="R84" i="2"/>
  <c r="T85" i="2"/>
  <c r="V86" i="2"/>
  <c r="V90" i="2"/>
  <c r="X92" i="2"/>
  <c r="P98" i="2"/>
  <c r="P103" i="2" s="1"/>
  <c r="V103" i="2" s="1"/>
  <c r="R101" i="2"/>
  <c r="R110" i="2"/>
  <c r="V111" i="2"/>
  <c r="R117" i="2"/>
  <c r="X121" i="2"/>
  <c r="S129" i="2"/>
  <c r="V134" i="2"/>
  <c r="Z135" i="2"/>
  <c r="Z136" i="2" s="1"/>
  <c r="V136" i="2"/>
  <c r="V137" i="2"/>
  <c r="R139" i="2"/>
  <c r="T147" i="2"/>
  <c r="T152" i="2"/>
  <c r="R161" i="2"/>
  <c r="T163" i="2"/>
  <c r="T176" i="2"/>
  <c r="V178" i="2"/>
  <c r="V190" i="2"/>
  <c r="R190" i="2"/>
  <c r="Z228" i="2"/>
  <c r="U223" i="2"/>
  <c r="P263" i="2"/>
  <c r="X263" i="2" s="1"/>
  <c r="Q27" i="2"/>
  <c r="R27" i="2" s="1"/>
  <c r="V56" i="2"/>
  <c r="P58" i="2"/>
  <c r="X58" i="2" s="1"/>
  <c r="V67" i="2"/>
  <c r="V79" i="2"/>
  <c r="T84" i="2"/>
  <c r="V85" i="2"/>
  <c r="R89" i="2"/>
  <c r="R97" i="2"/>
  <c r="R100" i="2"/>
  <c r="T101" i="2"/>
  <c r="T110" i="2"/>
  <c r="T117" i="2"/>
  <c r="X137" i="2"/>
  <c r="T139" i="2"/>
  <c r="V147" i="2"/>
  <c r="P149" i="2"/>
  <c r="V152" i="2"/>
  <c r="V163" i="2"/>
  <c r="S167" i="2"/>
  <c r="Q172" i="2"/>
  <c r="X176" i="2"/>
  <c r="V179" i="2"/>
  <c r="R179" i="2"/>
  <c r="L171" i="2"/>
  <c r="T183" i="2"/>
  <c r="R183" i="2"/>
  <c r="X183" i="2"/>
  <c r="M230" i="2"/>
  <c r="X242" i="2"/>
  <c r="V242" i="2"/>
  <c r="T242" i="2"/>
  <c r="P228" i="2"/>
  <c r="V228" i="2" s="1"/>
  <c r="P274" i="2"/>
  <c r="V274" i="2" s="1"/>
  <c r="R273" i="2"/>
  <c r="V84" i="2"/>
  <c r="R98" i="2"/>
  <c r="V101" i="2"/>
  <c r="V110" i="2"/>
  <c r="V117" i="2"/>
  <c r="M127" i="2"/>
  <c r="U127" i="2"/>
  <c r="T133" i="2"/>
  <c r="V139" i="2"/>
  <c r="S172" i="2"/>
  <c r="T179" i="2"/>
  <c r="V183" i="2"/>
  <c r="G194" i="2"/>
  <c r="G195" i="2" s="1"/>
  <c r="O194" i="2"/>
  <c r="O195" i="2" s="1"/>
  <c r="R236" i="2"/>
  <c r="X236" i="2"/>
  <c r="V236" i="2"/>
  <c r="R251" i="2"/>
  <c r="T273" i="2"/>
  <c r="Q194" i="2"/>
  <c r="S223" i="2"/>
  <c r="T251" i="2"/>
  <c r="T263" i="2"/>
  <c r="X182" i="2"/>
  <c r="V204" i="2"/>
  <c r="R207" i="2"/>
  <c r="V208" i="2"/>
  <c r="X212" i="2"/>
  <c r="V217" i="2"/>
  <c r="I229" i="2"/>
  <c r="I223" i="2" s="1"/>
  <c r="I4" i="2" s="1"/>
  <c r="I13" i="2" s="1"/>
  <c r="Q229" i="2"/>
  <c r="U230" i="2"/>
  <c r="R234" i="2"/>
  <c r="V235" i="2"/>
  <c r="R241" i="2"/>
  <c r="Y242" i="2"/>
  <c r="Z243" i="2"/>
  <c r="Z244" i="2" s="1"/>
  <c r="Z245" i="2" s="1"/>
  <c r="N244" i="2"/>
  <c r="N229" i="2" s="1"/>
  <c r="P251" i="2"/>
  <c r="V251" i="2" s="1"/>
  <c r="R270" i="2"/>
  <c r="Z274" i="2"/>
  <c r="R291" i="2"/>
  <c r="V334" i="2"/>
  <c r="T334" i="2"/>
  <c r="R334" i="2"/>
  <c r="P328" i="2"/>
  <c r="X328" i="2" s="1"/>
  <c r="K329" i="2"/>
  <c r="K300" i="2" s="1"/>
  <c r="K301" i="2" s="1"/>
  <c r="W329" i="2"/>
  <c r="X375" i="2"/>
  <c r="X204" i="2"/>
  <c r="T207" i="2"/>
  <c r="X208" i="2"/>
  <c r="X217" i="2"/>
  <c r="V218" i="2"/>
  <c r="T234" i="2"/>
  <c r="X235" i="2"/>
  <c r="T236" i="2"/>
  <c r="R240" i="2"/>
  <c r="T241" i="2"/>
  <c r="S245" i="2"/>
  <c r="R250" i="2"/>
  <c r="Y251" i="2"/>
  <c r="Y229" i="2" s="1"/>
  <c r="Y223" i="2" s="1"/>
  <c r="P259" i="2"/>
  <c r="X259" i="2" s="1"/>
  <c r="R269" i="2"/>
  <c r="R272" i="2"/>
  <c r="W274" i="2"/>
  <c r="W296" i="2"/>
  <c r="P319" i="2"/>
  <c r="V318" i="2"/>
  <c r="T318" i="2"/>
  <c r="R318" i="2"/>
  <c r="X319" i="2"/>
  <c r="X334" i="2"/>
  <c r="X357" i="2"/>
  <c r="T357" i="2"/>
  <c r="R357" i="2"/>
  <c r="W386" i="2"/>
  <c r="R189" i="2"/>
  <c r="W194" i="2"/>
  <c r="P200" i="2"/>
  <c r="X200" i="2" s="1"/>
  <c r="P213" i="2"/>
  <c r="T213" i="2" s="1"/>
  <c r="V234" i="2"/>
  <c r="T240" i="2"/>
  <c r="V241" i="2"/>
  <c r="P244" i="2"/>
  <c r="T244" i="2" s="1"/>
  <c r="L245" i="2"/>
  <c r="R249" i="2"/>
  <c r="T250" i="2"/>
  <c r="R258" i="2"/>
  <c r="M263" i="2"/>
  <c r="M222" i="2" s="1"/>
  <c r="M224" i="2" s="1"/>
  <c r="U263" i="2"/>
  <c r="T269" i="2"/>
  <c r="T270" i="2"/>
  <c r="R271" i="2"/>
  <c r="T272" i="2"/>
  <c r="Z282" i="2"/>
  <c r="Z283" i="2" s="1"/>
  <c r="X318" i="2"/>
  <c r="N300" i="2"/>
  <c r="N301" i="2" s="1"/>
  <c r="M300" i="2"/>
  <c r="X218" i="2"/>
  <c r="M245" i="2"/>
  <c r="U245" i="2"/>
  <c r="I274" i="2"/>
  <c r="I264" i="2" s="1"/>
  <c r="I265" i="2" s="1"/>
  <c r="Q274" i="2"/>
  <c r="Y274" i="2"/>
  <c r="Y264" i="2" s="1"/>
  <c r="Y265" i="2" s="1"/>
  <c r="R375" i="2"/>
  <c r="V375" i="2"/>
  <c r="T375" i="2"/>
  <c r="V189" i="2"/>
  <c r="P205" i="2"/>
  <c r="V205" i="2" s="1"/>
  <c r="R244" i="2"/>
  <c r="V249" i="2"/>
  <c r="R253" i="2"/>
  <c r="V258" i="2"/>
  <c r="G263" i="2"/>
  <c r="G222" i="2" s="1"/>
  <c r="G224" i="2" s="1"/>
  <c r="O263" i="2"/>
  <c r="O222" i="2" s="1"/>
  <c r="X269" i="2"/>
  <c r="V270" i="2"/>
  <c r="V271" i="2"/>
  <c r="X290" i="2"/>
  <c r="N393" i="2"/>
  <c r="N385" i="2"/>
  <c r="R218" i="2"/>
  <c r="T253" i="2"/>
  <c r="X271" i="2"/>
  <c r="W305" i="2"/>
  <c r="P314" i="2"/>
  <c r="X314" i="2" s="1"/>
  <c r="V310" i="2"/>
  <c r="T310" i="2"/>
  <c r="R310" i="2"/>
  <c r="X312" i="2"/>
  <c r="V312" i="2"/>
  <c r="T312" i="2"/>
  <c r="P335" i="2"/>
  <c r="S194" i="2"/>
  <c r="V253" i="2"/>
  <c r="R282" i="2"/>
  <c r="P283" i="2"/>
  <c r="V283" i="2" s="1"/>
  <c r="V282" i="2"/>
  <c r="X310" i="2"/>
  <c r="R312" i="2"/>
  <c r="J300" i="2"/>
  <c r="V357" i="2"/>
  <c r="V291" i="2"/>
  <c r="T291" i="2"/>
  <c r="P295" i="2"/>
  <c r="V295" i="2" s="1"/>
  <c r="V324" i="2"/>
  <c r="T324" i="2"/>
  <c r="R324" i="2"/>
  <c r="S386" i="2"/>
  <c r="V288" i="2"/>
  <c r="V293" i="2"/>
  <c r="X313" i="2"/>
  <c r="V322" i="2"/>
  <c r="S328" i="2"/>
  <c r="X333" i="2"/>
  <c r="V338" i="2"/>
  <c r="X339" i="2"/>
  <c r="Z344" i="2"/>
  <c r="Z346" i="2" s="1"/>
  <c r="Z328" i="2" s="1"/>
  <c r="Z329" i="2" s="1"/>
  <c r="P346" i="2"/>
  <c r="V346" i="2" s="1"/>
  <c r="X351" i="2"/>
  <c r="R356" i="2"/>
  <c r="Y357" i="2"/>
  <c r="Y328" i="2" s="1"/>
  <c r="Y329" i="2" s="1"/>
  <c r="Y300" i="2" s="1"/>
  <c r="Y301" i="2" s="1"/>
  <c r="U361" i="2"/>
  <c r="Q362" i="2"/>
  <c r="Q300" i="2" s="1"/>
  <c r="Z366" i="2"/>
  <c r="Z368" i="2" s="1"/>
  <c r="Z361" i="2" s="1"/>
  <c r="Z362" i="2" s="1"/>
  <c r="R374" i="2"/>
  <c r="V378" i="2"/>
  <c r="R380" i="2"/>
  <c r="X381" i="2"/>
  <c r="J391" i="2"/>
  <c r="Z391" i="2"/>
  <c r="V401" i="2"/>
  <c r="R403" i="2"/>
  <c r="N406" i="2"/>
  <c r="T416" i="2"/>
  <c r="R433" i="2"/>
  <c r="J443" i="2"/>
  <c r="J7" i="2" s="1"/>
  <c r="J9" i="2" s="1"/>
  <c r="J451" i="2"/>
  <c r="V533" i="2"/>
  <c r="U296" i="2"/>
  <c r="T356" i="2"/>
  <c r="R368" i="2"/>
  <c r="T374" i="2"/>
  <c r="T380" i="2"/>
  <c r="W387" i="2"/>
  <c r="K391" i="2"/>
  <c r="S391" i="2"/>
  <c r="P400" i="2"/>
  <c r="T403" i="2"/>
  <c r="R422" i="2"/>
  <c r="T433" i="2"/>
  <c r="X436" i="2"/>
  <c r="V436" i="2"/>
  <c r="T436" i="2"/>
  <c r="R436" i="2"/>
  <c r="R503" i="2"/>
  <c r="R290" i="2"/>
  <c r="R345" i="2"/>
  <c r="R352" i="2"/>
  <c r="V356" i="2"/>
  <c r="R367" i="2"/>
  <c r="V374" i="2"/>
  <c r="V380" i="2"/>
  <c r="H385" i="2"/>
  <c r="H387" i="2" s="1"/>
  <c r="L393" i="2"/>
  <c r="X403" i="2"/>
  <c r="V421" i="2"/>
  <c r="R421" i="2"/>
  <c r="T533" i="2"/>
  <c r="T545" i="2"/>
  <c r="T552" i="2"/>
  <c r="X356" i="2"/>
  <c r="P361" i="2"/>
  <c r="R361" i="2" s="1"/>
  <c r="T368" i="2"/>
  <c r="X374" i="2"/>
  <c r="Q387" i="2"/>
  <c r="U393" i="2"/>
  <c r="S426" i="2"/>
  <c r="Y433" i="2"/>
  <c r="Z431" i="2"/>
  <c r="Z433" i="2" s="1"/>
  <c r="Z438" i="2" s="1"/>
  <c r="T532" i="2"/>
  <c r="P533" i="2"/>
  <c r="R533" i="2" s="1"/>
  <c r="R532" i="2"/>
  <c r="T559" i="2"/>
  <c r="R343" i="2"/>
  <c r="R348" i="2"/>
  <c r="R399" i="2"/>
  <c r="P405" i="2"/>
  <c r="T405" i="2" s="1"/>
  <c r="R404" i="2"/>
  <c r="M426" i="2"/>
  <c r="U426" i="2"/>
  <c r="V422" i="2"/>
  <c r="X503" i="2"/>
  <c r="X532" i="2"/>
  <c r="X545" i="2"/>
  <c r="V559" i="2"/>
  <c r="V289" i="2"/>
  <c r="V294" i="2"/>
  <c r="Z310" i="2"/>
  <c r="Z314" i="2" s="1"/>
  <c r="Z305" i="2" s="1"/>
  <c r="Z306" i="2" s="1"/>
  <c r="R313" i="2"/>
  <c r="V323" i="2"/>
  <c r="R333" i="2"/>
  <c r="R335" i="2"/>
  <c r="R339" i="2"/>
  <c r="T343" i="2"/>
  <c r="V344" i="2"/>
  <c r="T348" i="2"/>
  <c r="R351" i="2"/>
  <c r="V366" i="2"/>
  <c r="V370" i="2"/>
  <c r="V379" i="2"/>
  <c r="R381" i="2"/>
  <c r="W393" i="2"/>
  <c r="T399" i="2"/>
  <c r="T400" i="2"/>
  <c r="V402" i="2"/>
  <c r="T404" i="2"/>
  <c r="T408" i="2"/>
  <c r="Y425" i="2"/>
  <c r="P437" i="2"/>
  <c r="V437" i="2" s="1"/>
  <c r="X559" i="2"/>
  <c r="V343" i="2"/>
  <c r="V348" i="2"/>
  <c r="V408" i="2"/>
  <c r="J445" i="2"/>
  <c r="X405" i="2"/>
  <c r="R416" i="2"/>
  <c r="X416" i="2"/>
  <c r="T424" i="2"/>
  <c r="X431" i="2"/>
  <c r="T434" i="2"/>
  <c r="U445" i="2"/>
  <c r="X449" i="2"/>
  <c r="P451" i="2"/>
  <c r="V451" i="2" s="1"/>
  <c r="T486" i="2"/>
  <c r="X494" i="2"/>
  <c r="W533" i="2"/>
  <c r="X533" i="2" s="1"/>
  <c r="R558" i="2"/>
  <c r="P414" i="2"/>
  <c r="X424" i="2"/>
  <c r="X434" i="2"/>
  <c r="G443" i="2"/>
  <c r="G7" i="2" s="1"/>
  <c r="G9" i="2" s="1"/>
  <c r="O443" i="2"/>
  <c r="O7" i="2" s="1"/>
  <c r="O9" i="2" s="1"/>
  <c r="W443" i="2"/>
  <c r="W445" i="2"/>
  <c r="T455" i="2"/>
  <c r="R463" i="2"/>
  <c r="W465" i="2"/>
  <c r="X468" i="2"/>
  <c r="T470" i="2"/>
  <c r="P475" i="2"/>
  <c r="P464" i="2" s="1"/>
  <c r="P481" i="2"/>
  <c r="X481" i="2"/>
  <c r="R485" i="2"/>
  <c r="X486" i="2"/>
  <c r="T488" i="2"/>
  <c r="R494" i="2"/>
  <c r="X502" i="2"/>
  <c r="Q504" i="2"/>
  <c r="R508" i="2"/>
  <c r="X509" i="2"/>
  <c r="T511" i="2"/>
  <c r="R516" i="2"/>
  <c r="X517" i="2"/>
  <c r="T526" i="2"/>
  <c r="R537" i="2"/>
  <c r="X538" i="2"/>
  <c r="T540" i="2"/>
  <c r="T544" i="2"/>
  <c r="S553" i="2"/>
  <c r="P433" i="2"/>
  <c r="T463" i="2"/>
  <c r="T485" i="2"/>
  <c r="T508" i="2"/>
  <c r="T516" i="2"/>
  <c r="T537" i="2"/>
  <c r="R432" i="2"/>
  <c r="R435" i="2"/>
  <c r="Q438" i="2"/>
  <c r="Y443" i="2"/>
  <c r="Y7" i="2" s="1"/>
  <c r="Y9" i="2" s="1"/>
  <c r="R449" i="2"/>
  <c r="R454" i="2"/>
  <c r="V463" i="2"/>
  <c r="R469" i="2"/>
  <c r="R481" i="2"/>
  <c r="V485" i="2"/>
  <c r="R487" i="2"/>
  <c r="T494" i="2"/>
  <c r="P495" i="2"/>
  <c r="V495" i="2" s="1"/>
  <c r="V508" i="2"/>
  <c r="R510" i="2"/>
  <c r="V516" i="2"/>
  <c r="P521" i="2"/>
  <c r="X521" i="2" s="1"/>
  <c r="R525" i="2"/>
  <c r="V537" i="2"/>
  <c r="R539" i="2"/>
  <c r="X540" i="2"/>
  <c r="V544" i="2"/>
  <c r="T557" i="2"/>
  <c r="Z423" i="2"/>
  <c r="Z425" i="2" s="1"/>
  <c r="Z426" i="2" s="1"/>
  <c r="R431" i="2"/>
  <c r="T432" i="2"/>
  <c r="T435" i="2"/>
  <c r="Z443" i="2"/>
  <c r="Z7" i="2" s="1"/>
  <c r="Z9" i="2" s="1"/>
  <c r="T449" i="2"/>
  <c r="T454" i="2"/>
  <c r="R459" i="2"/>
  <c r="X463" i="2"/>
  <c r="T469" i="2"/>
  <c r="R474" i="2"/>
  <c r="R477" i="2"/>
  <c r="T487" i="2"/>
  <c r="P503" i="2"/>
  <c r="R507" i="2"/>
  <c r="T510" i="2"/>
  <c r="R515" i="2"/>
  <c r="T525" i="2"/>
  <c r="R536" i="2"/>
  <c r="T539" i="2"/>
  <c r="V557" i="2"/>
  <c r="P559" i="2"/>
  <c r="P552" i="2" s="1"/>
  <c r="P425" i="2"/>
  <c r="P426" i="2" s="1"/>
  <c r="T431" i="2"/>
  <c r="V432" i="2"/>
  <c r="V435" i="2"/>
  <c r="S438" i="2"/>
  <c r="V454" i="2"/>
  <c r="V469" i="2"/>
  <c r="V487" i="2"/>
  <c r="V510" i="2"/>
  <c r="V525" i="2"/>
  <c r="V539" i="2"/>
  <c r="R548" i="2"/>
  <c r="R434" i="2"/>
  <c r="P442" i="2"/>
  <c r="L443" i="2"/>
  <c r="L7" i="2" s="1"/>
  <c r="L9" i="2" s="1"/>
  <c r="Q301" i="2" l="1"/>
  <c r="T464" i="2"/>
  <c r="P443" i="2"/>
  <c r="R464" i="2"/>
  <c r="P465" i="2"/>
  <c r="X464" i="2"/>
  <c r="V464" i="2"/>
  <c r="R426" i="2"/>
  <c r="X426" i="2"/>
  <c r="R154" i="2"/>
  <c r="V154" i="2"/>
  <c r="P128" i="2"/>
  <c r="T128" i="2" s="1"/>
  <c r="X154" i="2"/>
  <c r="T154" i="2"/>
  <c r="N223" i="2"/>
  <c r="N230" i="2"/>
  <c r="P438" i="2"/>
  <c r="X433" i="2"/>
  <c r="V433" i="2"/>
  <c r="X465" i="2"/>
  <c r="T426" i="2"/>
  <c r="R559" i="2"/>
  <c r="V400" i="2"/>
  <c r="P391" i="2"/>
  <c r="R400" i="2"/>
  <c r="P406" i="2"/>
  <c r="X400" i="2"/>
  <c r="V296" i="2"/>
  <c r="L445" i="2"/>
  <c r="J385" i="2"/>
  <c r="J393" i="2"/>
  <c r="U362" i="2"/>
  <c r="V361" i="2"/>
  <c r="R405" i="2"/>
  <c r="T314" i="2"/>
  <c r="S195" i="2"/>
  <c r="T195" i="2" s="1"/>
  <c r="R314" i="2"/>
  <c r="W306" i="2"/>
  <c r="P296" i="2"/>
  <c r="M301" i="2"/>
  <c r="M4" i="2"/>
  <c r="M13" i="2" s="1"/>
  <c r="W195" i="2"/>
  <c r="X195" i="2" s="1"/>
  <c r="X295" i="2"/>
  <c r="Y245" i="2"/>
  <c r="Y228" i="2"/>
  <c r="Z229" i="2"/>
  <c r="V264" i="2"/>
  <c r="U265" i="2"/>
  <c r="V265" i="2" s="1"/>
  <c r="T205" i="2"/>
  <c r="Q224" i="2"/>
  <c r="R213" i="2"/>
  <c r="V26" i="2"/>
  <c r="X19" i="2"/>
  <c r="Y27" i="2"/>
  <c r="Y19" i="2"/>
  <c r="Q103" i="1"/>
  <c r="U68" i="1"/>
  <c r="M38" i="1"/>
  <c r="U49" i="1"/>
  <c r="S49" i="1"/>
  <c r="O49" i="1"/>
  <c r="J5" i="1"/>
  <c r="K5" i="1"/>
  <c r="R521" i="2"/>
  <c r="P522" i="2"/>
  <c r="T521" i="2"/>
  <c r="V414" i="2"/>
  <c r="T414" i="2"/>
  <c r="V426" i="2"/>
  <c r="X414" i="2"/>
  <c r="T451" i="2"/>
  <c r="S385" i="2"/>
  <c r="T391" i="2"/>
  <c r="S393" i="2"/>
  <c r="Z386" i="2"/>
  <c r="X244" i="2"/>
  <c r="X274" i="2"/>
  <c r="W264" i="2"/>
  <c r="P229" i="2"/>
  <c r="L172" i="2"/>
  <c r="L4" i="2"/>
  <c r="R149" i="2"/>
  <c r="X149" i="2"/>
  <c r="P155" i="2"/>
  <c r="V149" i="2"/>
  <c r="X213" i="2"/>
  <c r="U195" i="2"/>
  <c r="V195" i="2" s="1"/>
  <c r="V194" i="2"/>
  <c r="R263" i="2"/>
  <c r="R205" i="2"/>
  <c r="X25" i="2"/>
  <c r="P167" i="2"/>
  <c r="R142" i="2"/>
  <c r="R52" i="2"/>
  <c r="X52" i="2"/>
  <c r="T52" i="2"/>
  <c r="O69" i="1"/>
  <c r="H14" i="1"/>
  <c r="M14" i="1" s="1"/>
  <c r="S14" i="1" s="1"/>
  <c r="M4" i="1"/>
  <c r="U4" i="1" s="1"/>
  <c r="X451" i="2"/>
  <c r="Z445" i="2"/>
  <c r="K385" i="2"/>
  <c r="K393" i="2"/>
  <c r="T495" i="2"/>
  <c r="S329" i="2"/>
  <c r="T328" i="2"/>
  <c r="V405" i="2"/>
  <c r="P329" i="2"/>
  <c r="V328" i="2"/>
  <c r="R328" i="2"/>
  <c r="Z264" i="2"/>
  <c r="Z265" i="2" s="1"/>
  <c r="R194" i="2"/>
  <c r="Q195" i="2"/>
  <c r="R195" i="2" s="1"/>
  <c r="P245" i="2"/>
  <c r="V245" i="2" s="1"/>
  <c r="X205" i="2"/>
  <c r="V200" i="2"/>
  <c r="V102" i="2"/>
  <c r="R102" i="2"/>
  <c r="T200" i="2"/>
  <c r="R103" i="2"/>
  <c r="R166" i="2"/>
  <c r="T112" i="2"/>
  <c r="V35" i="2"/>
  <c r="P69" i="1"/>
  <c r="Q69" i="1" s="1"/>
  <c r="Q68" i="1"/>
  <c r="P3" i="1"/>
  <c r="T103" i="2"/>
  <c r="M12" i="1"/>
  <c r="Q12" i="1" s="1"/>
  <c r="S20" i="1"/>
  <c r="M21" i="1"/>
  <c r="O20" i="1"/>
  <c r="X425" i="2"/>
  <c r="R425" i="2"/>
  <c r="Z300" i="2"/>
  <c r="Z301" i="2" s="1"/>
  <c r="O445" i="2"/>
  <c r="R295" i="2"/>
  <c r="R274" i="2"/>
  <c r="Q264" i="2"/>
  <c r="U222" i="2"/>
  <c r="V263" i="2"/>
  <c r="R200" i="2"/>
  <c r="T180" i="2"/>
  <c r="X180" i="2"/>
  <c r="V180" i="2"/>
  <c r="R180" i="2"/>
  <c r="P171" i="2"/>
  <c r="X153" i="2"/>
  <c r="V153" i="2"/>
  <c r="T153" i="2"/>
  <c r="R153" i="2"/>
  <c r="T27" i="2"/>
  <c r="X103" i="2"/>
  <c r="O4" i="2"/>
  <c r="O13" i="2" s="1"/>
  <c r="P4" i="1"/>
  <c r="P21" i="1"/>
  <c r="Q20" i="1"/>
  <c r="O15" i="1"/>
  <c r="P553" i="2"/>
  <c r="R552" i="2"/>
  <c r="X552" i="2"/>
  <c r="V552" i="2"/>
  <c r="V503" i="2"/>
  <c r="P504" i="2"/>
  <c r="T503" i="2"/>
  <c r="P482" i="2"/>
  <c r="T481" i="2"/>
  <c r="V481" i="2"/>
  <c r="X443" i="2"/>
  <c r="W7" i="2"/>
  <c r="R495" i="2"/>
  <c r="G445" i="2"/>
  <c r="R451" i="2"/>
  <c r="X346" i="2"/>
  <c r="T295" i="2"/>
  <c r="N387" i="2"/>
  <c r="N3" i="2"/>
  <c r="O224" i="2"/>
  <c r="O3" i="2"/>
  <c r="V259" i="2"/>
  <c r="T259" i="2"/>
  <c r="R259" i="2"/>
  <c r="U129" i="2"/>
  <c r="V213" i="2"/>
  <c r="V98" i="2"/>
  <c r="X142" i="2"/>
  <c r="V87" i="2"/>
  <c r="R87" i="2"/>
  <c r="X87" i="2"/>
  <c r="P93" i="2"/>
  <c r="Z155" i="2"/>
  <c r="T98" i="2"/>
  <c r="V142" i="2"/>
  <c r="T45" i="2"/>
  <c r="R25" i="2"/>
  <c r="T149" i="2"/>
  <c r="G4" i="2"/>
  <c r="G13" i="2" s="1"/>
  <c r="S96" i="1"/>
  <c r="O96" i="1"/>
  <c r="P20" i="2"/>
  <c r="K4" i="2"/>
  <c r="O14" i="1"/>
  <c r="O68" i="1"/>
  <c r="Q15" i="1"/>
  <c r="R504" i="2"/>
  <c r="X475" i="2"/>
  <c r="V475" i="2"/>
  <c r="T475" i="2"/>
  <c r="R475" i="2"/>
  <c r="P392" i="2"/>
  <c r="T283" i="2"/>
  <c r="R283" i="2"/>
  <c r="R346" i="2"/>
  <c r="X283" i="2"/>
  <c r="V244" i="2"/>
  <c r="Q223" i="2"/>
  <c r="R229" i="2"/>
  <c r="M129" i="2"/>
  <c r="M3" i="2"/>
  <c r="S224" i="2"/>
  <c r="V128" i="2"/>
  <c r="T264" i="2"/>
  <c r="S265" i="2"/>
  <c r="T265" i="2" s="1"/>
  <c r="N245" i="2"/>
  <c r="Z27" i="2"/>
  <c r="Z19" i="2"/>
  <c r="V166" i="2"/>
  <c r="T166" i="2"/>
  <c r="V27" i="2"/>
  <c r="P127" i="2"/>
  <c r="R127" i="2" s="1"/>
  <c r="X35" i="2"/>
  <c r="H129" i="2"/>
  <c r="H3" i="2"/>
  <c r="R35" i="2"/>
  <c r="G129" i="2"/>
  <c r="G3" i="2"/>
  <c r="D5" i="1"/>
  <c r="D13" i="1"/>
  <c r="D16" i="1" s="1"/>
  <c r="P7" i="2"/>
  <c r="S68" i="1"/>
  <c r="R16" i="1"/>
  <c r="O10" i="1"/>
  <c r="S10" i="1"/>
  <c r="U21" i="1"/>
  <c r="Q34" i="1"/>
  <c r="T442" i="2"/>
  <c r="R442" i="2"/>
  <c r="V442" i="2"/>
  <c r="T437" i="2"/>
  <c r="R437" i="2"/>
  <c r="X495" i="2"/>
  <c r="Y438" i="2"/>
  <c r="Y385" i="2"/>
  <c r="P362" i="2"/>
  <c r="T361" i="2"/>
  <c r="X361" i="2"/>
  <c r="Y445" i="2"/>
  <c r="Z385" i="2"/>
  <c r="Z387" i="2" s="1"/>
  <c r="Z393" i="2"/>
  <c r="T346" i="2"/>
  <c r="T335" i="2"/>
  <c r="V335" i="2"/>
  <c r="X335" i="2"/>
  <c r="T319" i="2"/>
  <c r="R319" i="2"/>
  <c r="V319" i="2"/>
  <c r="T167" i="2"/>
  <c r="Z230" i="2"/>
  <c r="Z222" i="2"/>
  <c r="Z142" i="2"/>
  <c r="Z127" i="2"/>
  <c r="Z129" i="2" s="1"/>
  <c r="X98" i="2"/>
  <c r="Q129" i="2"/>
  <c r="Q3" i="2"/>
  <c r="T274" i="2"/>
  <c r="I230" i="2"/>
  <c r="Q230" i="2"/>
  <c r="X45" i="2"/>
  <c r="V25" i="2"/>
  <c r="R26" i="2"/>
  <c r="Q20" i="2"/>
  <c r="T102" i="2"/>
  <c r="P21" i="2"/>
  <c r="T21" i="2" s="1"/>
  <c r="R19" i="2"/>
  <c r="V3" i="1"/>
  <c r="V69" i="1"/>
  <c r="U96" i="1"/>
  <c r="Q96" i="1"/>
  <c r="M13" i="1"/>
  <c r="S13" i="1" s="1"/>
  <c r="H16" i="1"/>
  <c r="T14" i="1"/>
  <c r="U14" i="1" s="1"/>
  <c r="W4" i="1"/>
  <c r="W14" i="1" s="1"/>
  <c r="W21" i="1"/>
  <c r="T438" i="2"/>
  <c r="R438" i="2"/>
  <c r="V521" i="2"/>
  <c r="X437" i="2"/>
  <c r="Y386" i="2"/>
  <c r="Y4" i="2" s="1"/>
  <c r="Y13" i="2" s="1"/>
  <c r="Y426" i="2"/>
  <c r="V425" i="2"/>
  <c r="T425" i="2"/>
  <c r="X442" i="2"/>
  <c r="R362" i="2"/>
  <c r="R414" i="2"/>
  <c r="J301" i="2"/>
  <c r="J4" i="2"/>
  <c r="J13" i="2" s="1"/>
  <c r="V314" i="2"/>
  <c r="P305" i="2"/>
  <c r="P194" i="2"/>
  <c r="P195" i="2" s="1"/>
  <c r="X296" i="2"/>
  <c r="T245" i="2"/>
  <c r="X329" i="2"/>
  <c r="T228" i="2"/>
  <c r="P222" i="2"/>
  <c r="R228" i="2"/>
  <c r="P230" i="2"/>
  <c r="X230" i="2" s="1"/>
  <c r="X228" i="2"/>
  <c r="R58" i="2"/>
  <c r="T58" i="2"/>
  <c r="V58" i="2"/>
  <c r="I129" i="2"/>
  <c r="I3" i="2"/>
  <c r="I224" i="2"/>
  <c r="V112" i="2"/>
  <c r="R112" i="2"/>
  <c r="H224" i="2"/>
  <c r="V45" i="2"/>
  <c r="T25" i="2"/>
  <c r="Y129" i="2"/>
  <c r="U69" i="1"/>
  <c r="V19" i="2"/>
  <c r="W69" i="1"/>
  <c r="W3" i="1"/>
  <c r="S34" i="1"/>
  <c r="O34" i="1"/>
  <c r="U12" i="1"/>
  <c r="U20" i="1"/>
  <c r="Q10" i="1"/>
  <c r="W13" i="1" l="1"/>
  <c r="W16" i="1" s="1"/>
  <c r="W5" i="1"/>
  <c r="R20" i="2"/>
  <c r="Q4" i="2"/>
  <c r="Q21" i="2"/>
  <c r="R21" i="2" s="1"/>
  <c r="P386" i="2"/>
  <c r="V392" i="2"/>
  <c r="R392" i="2"/>
  <c r="X392" i="2"/>
  <c r="T392" i="2"/>
  <c r="V93" i="2"/>
  <c r="X93" i="2"/>
  <c r="T93" i="2"/>
  <c r="V127" i="2"/>
  <c r="N12" i="2"/>
  <c r="N5" i="2"/>
  <c r="P172" i="2"/>
  <c r="X171" i="2"/>
  <c r="V171" i="2"/>
  <c r="R171" i="2"/>
  <c r="T171" i="2"/>
  <c r="V222" i="2"/>
  <c r="U224" i="2"/>
  <c r="U3" i="2"/>
  <c r="W265" i="2"/>
  <c r="X265" i="2" s="1"/>
  <c r="X264" i="2"/>
  <c r="W223" i="2"/>
  <c r="T16" i="1"/>
  <c r="G12" i="2"/>
  <c r="G15" i="2" s="1"/>
  <c r="D113" i="1" s="1"/>
  <c r="G5" i="2"/>
  <c r="R223" i="2"/>
  <c r="V230" i="2"/>
  <c r="Q265" i="2"/>
  <c r="R265" i="2" s="1"/>
  <c r="R264" i="2"/>
  <c r="U13" i="1"/>
  <c r="Z223" i="2"/>
  <c r="Z4" i="2" s="1"/>
  <c r="Z13" i="2" s="1"/>
  <c r="T296" i="2"/>
  <c r="R296" i="2"/>
  <c r="V465" i="2"/>
  <c r="R465" i="2"/>
  <c r="T465" i="2"/>
  <c r="P306" i="2"/>
  <c r="R305" i="2"/>
  <c r="V305" i="2"/>
  <c r="T305" i="2"/>
  <c r="R553" i="2"/>
  <c r="X553" i="2"/>
  <c r="V553" i="2"/>
  <c r="Q3" i="1"/>
  <c r="P5" i="1"/>
  <c r="P13" i="1"/>
  <c r="K387" i="2"/>
  <c r="K3" i="2"/>
  <c r="Y230" i="2"/>
  <c r="Y222" i="2"/>
  <c r="Y224" i="2" s="1"/>
  <c r="W300" i="2"/>
  <c r="V362" i="2"/>
  <c r="U300" i="2"/>
  <c r="P393" i="2"/>
  <c r="P385" i="2"/>
  <c r="R391" i="2"/>
  <c r="X391" i="2"/>
  <c r="V391" i="2"/>
  <c r="X438" i="2"/>
  <c r="V438" i="2"/>
  <c r="V482" i="2"/>
  <c r="R482" i="2"/>
  <c r="T482" i="2"/>
  <c r="X482" i="2"/>
  <c r="R93" i="2"/>
  <c r="L13" i="2"/>
  <c r="L15" i="2" s="1"/>
  <c r="I113" i="1" s="1"/>
  <c r="L5" i="2"/>
  <c r="X305" i="2"/>
  <c r="V443" i="2"/>
  <c r="R443" i="2"/>
  <c r="T443" i="2"/>
  <c r="I12" i="2"/>
  <c r="I15" i="2" s="1"/>
  <c r="F113" i="1" s="1"/>
  <c r="I5" i="2"/>
  <c r="P224" i="2"/>
  <c r="R224" i="2" s="1"/>
  <c r="X222" i="2"/>
  <c r="T222" i="2"/>
  <c r="V13" i="1"/>
  <c r="V16" i="1" s="1"/>
  <c r="V5" i="1"/>
  <c r="H12" i="2"/>
  <c r="H15" i="2" s="1"/>
  <c r="E113" i="1" s="1"/>
  <c r="H5" i="2"/>
  <c r="K13" i="2"/>
  <c r="P13" i="2" s="1"/>
  <c r="O21" i="1"/>
  <c r="S21" i="1"/>
  <c r="R230" i="2"/>
  <c r="T362" i="2"/>
  <c r="X362" i="2"/>
  <c r="Z3" i="2"/>
  <c r="Z21" i="2"/>
  <c r="V329" i="2"/>
  <c r="R329" i="2"/>
  <c r="R222" i="2"/>
  <c r="J387" i="2"/>
  <c r="J3" i="2"/>
  <c r="N4" i="2"/>
  <c r="N13" i="2" s="1"/>
  <c r="N224" i="2"/>
  <c r="Z224" i="2"/>
  <c r="Y387" i="2"/>
  <c r="P445" i="2"/>
  <c r="T224" i="2"/>
  <c r="X20" i="2"/>
  <c r="T20" i="2"/>
  <c r="V20" i="2"/>
  <c r="X21" i="2"/>
  <c r="X504" i="2"/>
  <c r="T504" i="2"/>
  <c r="V504" i="2"/>
  <c r="Q21" i="1"/>
  <c r="T393" i="2"/>
  <c r="T553" i="2"/>
  <c r="Y21" i="2"/>
  <c r="X194" i="2"/>
  <c r="T194" i="2"/>
  <c r="P9" i="2"/>
  <c r="T7" i="2"/>
  <c r="V7" i="2"/>
  <c r="R7" i="2"/>
  <c r="M5" i="2"/>
  <c r="M12" i="2"/>
  <c r="M15" i="2" s="1"/>
  <c r="J113" i="1" s="1"/>
  <c r="O12" i="2"/>
  <c r="O15" i="2" s="1"/>
  <c r="L113" i="1" s="1"/>
  <c r="O5" i="2"/>
  <c r="Q4" i="1"/>
  <c r="P14" i="1"/>
  <c r="Q14" i="1" s="1"/>
  <c r="S12" i="1"/>
  <c r="O12" i="1"/>
  <c r="X245" i="2"/>
  <c r="R245" i="2"/>
  <c r="M5" i="1"/>
  <c r="O4" i="1"/>
  <c r="S4" i="1"/>
  <c r="P223" i="2"/>
  <c r="V229" i="2"/>
  <c r="X229" i="2"/>
  <c r="T229" i="2"/>
  <c r="M39" i="1"/>
  <c r="Q38" i="1"/>
  <c r="O38" i="1"/>
  <c r="U38" i="1"/>
  <c r="S38" i="1"/>
  <c r="M16" i="1"/>
  <c r="S16" i="1" s="1"/>
  <c r="O13" i="1"/>
  <c r="Q12" i="2"/>
  <c r="Q5" i="2"/>
  <c r="P129" i="2"/>
  <c r="R129" i="2" s="1"/>
  <c r="T127" i="2"/>
  <c r="X127" i="2"/>
  <c r="T230" i="2"/>
  <c r="X7" i="2"/>
  <c r="W9" i="2"/>
  <c r="T329" i="2"/>
  <c r="S300" i="2"/>
  <c r="R167" i="2"/>
  <c r="X167" i="2"/>
  <c r="V167" i="2"/>
  <c r="S387" i="2"/>
  <c r="S3" i="2"/>
  <c r="X522" i="2"/>
  <c r="T522" i="2"/>
  <c r="V522" i="2"/>
  <c r="R522" i="2"/>
  <c r="V21" i="2"/>
  <c r="R128" i="2"/>
  <c r="X128" i="2"/>
  <c r="T155" i="2"/>
  <c r="R155" i="2"/>
  <c r="V155" i="2"/>
  <c r="X155" i="2"/>
  <c r="X406" i="2"/>
  <c r="V406" i="2"/>
  <c r="T406" i="2"/>
  <c r="R406" i="2"/>
  <c r="T223" i="2" l="1"/>
  <c r="V223" i="2"/>
  <c r="V224" i="2"/>
  <c r="N15" i="2"/>
  <c r="K113" i="1" s="1"/>
  <c r="R445" i="2"/>
  <c r="T445" i="2"/>
  <c r="X445" i="2"/>
  <c r="V445" i="2"/>
  <c r="R393" i="2"/>
  <c r="V393" i="2"/>
  <c r="X393" i="2"/>
  <c r="K5" i="2"/>
  <c r="P3" i="2"/>
  <c r="K12" i="2"/>
  <c r="X9" i="2"/>
  <c r="S5" i="1"/>
  <c r="O5" i="1"/>
  <c r="U5" i="1"/>
  <c r="V300" i="2"/>
  <c r="U301" i="2"/>
  <c r="U4" i="2"/>
  <c r="P16" i="1"/>
  <c r="Q13" i="1"/>
  <c r="U16" i="1"/>
  <c r="T129" i="2"/>
  <c r="X129" i="2"/>
  <c r="R9" i="2"/>
  <c r="T9" i="2"/>
  <c r="V9" i="2"/>
  <c r="P387" i="2"/>
  <c r="T387" i="2" s="1"/>
  <c r="X385" i="2"/>
  <c r="R385" i="2"/>
  <c r="V385" i="2"/>
  <c r="R386" i="2"/>
  <c r="V386" i="2"/>
  <c r="X386" i="2"/>
  <c r="T386" i="2"/>
  <c r="T3" i="2"/>
  <c r="S5" i="2"/>
  <c r="S12" i="2"/>
  <c r="S39" i="1"/>
  <c r="Q39" i="1"/>
  <c r="O39" i="1"/>
  <c r="U39" i="1"/>
  <c r="Q5" i="1"/>
  <c r="V306" i="2"/>
  <c r="P300" i="2"/>
  <c r="T306" i="2"/>
  <c r="R306" i="2"/>
  <c r="X223" i="2"/>
  <c r="W224" i="2"/>
  <c r="X224" i="2" s="1"/>
  <c r="W4" i="2"/>
  <c r="Q13" i="2"/>
  <c r="R13" i="2" s="1"/>
  <c r="R4" i="2"/>
  <c r="V129" i="2"/>
  <c r="X300" i="2"/>
  <c r="W301" i="2"/>
  <c r="T300" i="2"/>
  <c r="S301" i="2"/>
  <c r="S4" i="2"/>
  <c r="T385" i="2"/>
  <c r="Q15" i="2"/>
  <c r="Z5" i="2"/>
  <c r="Z12" i="2"/>
  <c r="Z15" i="2" s="1"/>
  <c r="W113" i="1" s="1"/>
  <c r="Y3" i="2"/>
  <c r="P4" i="2"/>
  <c r="X306" i="2"/>
  <c r="V172" i="2"/>
  <c r="X172" i="2"/>
  <c r="T172" i="2"/>
  <c r="R172" i="2"/>
  <c r="O16" i="1"/>
  <c r="J5" i="2"/>
  <c r="J12" i="2"/>
  <c r="J15" i="2" s="1"/>
  <c r="G113" i="1" s="1"/>
  <c r="U5" i="2"/>
  <c r="U12" i="2"/>
  <c r="V3" i="2"/>
  <c r="N113" i="1" l="1"/>
  <c r="S13" i="2"/>
  <c r="T13" i="2" s="1"/>
  <c r="T4" i="2"/>
  <c r="X4" i="2"/>
  <c r="W13" i="2"/>
  <c r="W5" i="2"/>
  <c r="X5" i="2" s="1"/>
  <c r="Q16" i="1"/>
  <c r="U13" i="2"/>
  <c r="V13" i="2" s="1"/>
  <c r="V4" i="2"/>
  <c r="P12" i="2"/>
  <c r="K15" i="2"/>
  <c r="H113" i="1" s="1"/>
  <c r="Y12" i="2"/>
  <c r="Y15" i="2" s="1"/>
  <c r="V113" i="1" s="1"/>
  <c r="Y5" i="2"/>
  <c r="P5" i="2"/>
  <c r="R5" i="2" s="1"/>
  <c r="X3" i="2"/>
  <c r="R3" i="2"/>
  <c r="T5" i="2"/>
  <c r="P301" i="2"/>
  <c r="R301" i="2" s="1"/>
  <c r="R300" i="2"/>
  <c r="S15" i="2"/>
  <c r="P113" i="1" s="1"/>
  <c r="V5" i="2"/>
  <c r="V387" i="2"/>
  <c r="R387" i="2"/>
  <c r="X387" i="2"/>
  <c r="X301" i="2" l="1"/>
  <c r="P15" i="2"/>
  <c r="X12" i="2"/>
  <c r="R12" i="2"/>
  <c r="X13" i="2"/>
  <c r="W15" i="2"/>
  <c r="T12" i="2"/>
  <c r="T301" i="2"/>
  <c r="V301" i="2"/>
  <c r="V12" i="2"/>
  <c r="U15" i="2"/>
  <c r="X15" i="2" l="1"/>
  <c r="T113" i="1"/>
  <c r="U113" i="1" s="1"/>
  <c r="M113" i="1"/>
  <c r="R15" i="2"/>
  <c r="T15" i="2"/>
  <c r="V15" i="2"/>
  <c r="R113" i="1"/>
  <c r="S113" i="1" s="1"/>
  <c r="Q113" i="1" l="1"/>
  <c r="O113" i="1"/>
</calcChain>
</file>

<file path=xl/comments1.xml><?xml version="1.0" encoding="utf-8"?>
<comments xmlns="http://schemas.openxmlformats.org/spreadsheetml/2006/main">
  <authors>
    <author/>
  </authors>
  <commentList>
    <comment ref="D74" author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Zvýšenie platov</t>
        </r>
      </text>
    </comment>
    <comment ref="G74" author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+ učebnice, preplatok 2014</t>
        </r>
      </text>
    </comment>
    <comment ref="N80" authorId="0">
      <text>
        <r>
          <rPr>
            <sz val="11"/>
            <color rgb="FF000000"/>
            <rFont val="Calibri"/>
            <charset val="238"/>
          </rPr>
          <t>Lyžiarsky, škola v prírode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97" author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Pre zjednodušenie porovnania sú položky 610, 620 a 630 zo starých rokov presunuté do položky 640</t>
        </r>
      </text>
    </comment>
    <comment ref="F101" author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Pre zjednodušenie porovnania sú položky 610, 620 a 630 zo starých rokov presunuté do položky 640</t>
        </r>
      </text>
    </comment>
    <comment ref="K244" authorId="0">
      <text>
        <r>
          <rPr>
            <sz val="11"/>
            <color rgb="FF000000"/>
            <rFont val="Calibri"/>
            <charset val="238"/>
          </rPr>
          <t>Opravená chyba – posunutý riadok € 229</t>
        </r>
      </text>
    </comment>
    <comment ref="K470" authorId="0">
      <text>
        <r>
          <rPr>
            <sz val="11"/>
            <color rgb="FF000000"/>
            <rFont val="Calibri"/>
            <charset val="238"/>
          </rPr>
          <t>Nebude sa realizovať – najbližšie RO zastupiteľstva zruší schodok</t>
        </r>
      </text>
    </comment>
  </commentList>
</comments>
</file>

<file path=xl/sharedStrings.xml><?xml version="1.0" encoding="utf-8"?>
<sst xmlns="http://schemas.openxmlformats.org/spreadsheetml/2006/main" count="2305" uniqueCount="348">
  <si>
    <t>SUMÁR PRÍJMOV</t>
  </si>
  <si>
    <t>2013 S</t>
  </si>
  <si>
    <t>2014 S</t>
  </si>
  <si>
    <t>2015 R</t>
  </si>
  <si>
    <t>2015 S</t>
  </si>
  <si>
    <t>2016 R</t>
  </si>
  <si>
    <t>U1</t>
  </si>
  <si>
    <t>U2</t>
  </si>
  <si>
    <t>U3</t>
  </si>
  <si>
    <t>U4</t>
  </si>
  <si>
    <t>2016 U</t>
  </si>
  <si>
    <t>Č1</t>
  </si>
  <si>
    <t>P1</t>
  </si>
  <si>
    <t>Č2</t>
  </si>
  <si>
    <t>P2</t>
  </si>
  <si>
    <t>Č3</t>
  </si>
  <si>
    <t>P3</t>
  </si>
  <si>
    <t>Č4</t>
  </si>
  <si>
    <t>P4</t>
  </si>
  <si>
    <t>2017 R</t>
  </si>
  <si>
    <t>2018 R</t>
  </si>
  <si>
    <t>Zdroj krytia</t>
  </si>
  <si>
    <t>Dotácie</t>
  </si>
  <si>
    <t>Vlastné zdroje</t>
  </si>
  <si>
    <t>Bežné príjmy</t>
  </si>
  <si>
    <t>Kapitálové príjmy</t>
  </si>
  <si>
    <t>Úvery</t>
  </si>
  <si>
    <t>Finančné operácie</t>
  </si>
  <si>
    <t>Celkové príjmy</t>
  </si>
  <si>
    <t>DAŇOVÉ PRÍJMY</t>
  </si>
  <si>
    <t>Zdroj</t>
  </si>
  <si>
    <t>Celkové výdavky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</si>
  <si>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</si>
  <si>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</si>
  <si>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</si>
  <si>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</si>
  <si>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</si>
  <si>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</si>
  <si>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</si>
  <si>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</si>
  <si>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</si>
  <si>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</si>
  <si>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nevýherné hracie prístroje</t>
  </si>
  <si>
    <t>Daň za ubytovanie</t>
  </si>
  <si>
    <t>Daň za užívanie verejného priestranstva</t>
  </si>
  <si>
    <t>Daň za komunálne odpady a drobné stavebné odpady</t>
  </si>
  <si>
    <t>NEDAŇOVÉ PRÍJMY</t>
  </si>
  <si>
    <t>Nedaňové príjmy - rozpis</t>
  </si>
  <si>
    <t>PrN</t>
  </si>
  <si>
    <t>Príjmy z majetku</t>
  </si>
  <si>
    <t>Administratívne poplatky a iné platby</t>
  </si>
  <si>
    <t>Predaj majetku</t>
  </si>
  <si>
    <t>Úroky z vkladov</t>
  </si>
  <si>
    <t>Iné nedaňové príjmy</t>
  </si>
  <si>
    <t>RO</t>
  </si>
  <si>
    <t>Príjmy ZŠ</t>
  </si>
  <si>
    <t>Vlasté zdroje</t>
  </si>
  <si>
    <t>V tom:</t>
  </si>
  <si>
    <t>Prenájom budov</t>
  </si>
  <si>
    <t>Správne poplatky</t>
  </si>
  <si>
    <t>Licencie automaty</t>
  </si>
  <si>
    <t>Vodné</t>
  </si>
  <si>
    <t>Opatrovateľská služba</t>
  </si>
  <si>
    <t>Vodovodný materiál</t>
  </si>
  <si>
    <t>Vstupné na akcie</t>
  </si>
  <si>
    <t>Poplatky DOS</t>
  </si>
  <si>
    <t>Predaj dreva</t>
  </si>
  <si>
    <t>Príspevok rodičov MŠ</t>
  </si>
  <si>
    <t>Príspevok CVČ</t>
  </si>
  <si>
    <t>Vodovodné prípojky</t>
  </si>
  <si>
    <t>Dobropisy</t>
  </si>
  <si>
    <t>Stravné zamestnanci</t>
  </si>
  <si>
    <t>GRANTY A TRANSFERY</t>
  </si>
  <si>
    <t>Granty a transfery - rozpis</t>
  </si>
  <si>
    <t>Granty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</si>
  <si>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</si>
  <si>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</si>
  <si>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</si>
  <si>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</si>
  <si>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</si>
  <si>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</si>
  <si>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</si>
  <si>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MŠ predškoláci</t>
  </si>
  <si>
    <t>CVČ vzdelávacie</t>
  </si>
  <si>
    <t>Prídavky na deti</t>
  </si>
  <si>
    <t>Stavebný úrad</t>
  </si>
  <si>
    <t>Cestná doprava</t>
  </si>
  <si>
    <t>Životné prostredie</t>
  </si>
  <si>
    <t>Matrika</t>
  </si>
  <si>
    <t>Register obyvateľstva</t>
  </si>
  <si>
    <t>Voľby</t>
  </si>
  <si>
    <t>Sklad civilnej obrany</t>
  </si>
  <si>
    <t>DOS</t>
  </si>
  <si>
    <t>Aktivačné práce</t>
  </si>
  <si>
    <t>Regionálny rozvoj ESF</t>
  </si>
  <si>
    <t>Chránená dielňa ESF</t>
  </si>
  <si>
    <t>Kamerový systém/WC ZŠ</t>
  </si>
  <si>
    <t>Zdroj kytia</t>
  </si>
  <si>
    <t>PRÍJMOVÉ FINANČNÉ OPERÁCIE</t>
  </si>
  <si>
    <t>Štátne dotácie</t>
  </si>
  <si>
    <t>Nevyčerpané dotácie</t>
  </si>
  <si>
    <t>Zostatky</t>
  </si>
  <si>
    <t>Rezervný fond</t>
  </si>
  <si>
    <t>Úver na Zetor</t>
  </si>
  <si>
    <t>Splátky od občanov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</si>
  <si>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</si>
  <si>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</si>
  <si>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</si>
  <si>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</si>
  <si>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</si>
  <si>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</si>
  <si>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</si>
  <si>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</si>
  <si>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</si>
  <si>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</si>
  <si>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</si>
  <si>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</si>
  <si>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</si>
  <si>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</si>
  <si>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</si>
  <si>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Odstupné</t>
  </si>
  <si>
    <t>Prvok 1.1.2 Personál</t>
  </si>
  <si>
    <t>Prvok 1.1.3 Vnútorná kontrola</t>
  </si>
  <si>
    <t>01.1.2</t>
  </si>
  <si>
    <t>Prvok 1.1.4 Služby a kancelárske vybavenie</t>
  </si>
  <si>
    <t>Bankové poplatky</t>
  </si>
  <si>
    <t>Právne služby</t>
  </si>
  <si>
    <t>Softvér (URBIS)</t>
  </si>
  <si>
    <t>Služby DCOM</t>
  </si>
  <si>
    <t>Prvok 1.1.5 Prevádzka</t>
  </si>
  <si>
    <t>01.1.3</t>
  </si>
  <si>
    <t>01.1.4</t>
  </si>
  <si>
    <t>01.1.5</t>
  </si>
  <si>
    <t>Elektrina</t>
  </si>
  <si>
    <t>Plyn</t>
  </si>
  <si>
    <t>Pohonné hmoty</t>
  </si>
  <si>
    <t>Prvok 1.1.6 Informačný systém (web a rozhlas)</t>
  </si>
  <si>
    <t>Prvok 1.1.7 Matrika a evidencia obyvateľstva</t>
  </si>
  <si>
    <t>01.3.3</t>
  </si>
  <si>
    <t>Štátna dotácia</t>
  </si>
  <si>
    <t>Podprogram 1.2 Spoločný obecný úrad</t>
  </si>
  <si>
    <t>09.1.1.1</t>
  </si>
  <si>
    <t>Mzdy MŠ Nesluša</t>
  </si>
  <si>
    <t>09.1.2.1</t>
  </si>
  <si>
    <t>Školský metodik</t>
  </si>
  <si>
    <t>Podprogram 1.3 Správa a údržba majetku</t>
  </si>
  <si>
    <t>04.2.2</t>
  </si>
  <si>
    <t>Lesy</t>
  </si>
  <si>
    <t>06.1.0</t>
  </si>
  <si>
    <t>Byty</t>
  </si>
  <si>
    <t>Ťažba dreva</t>
  </si>
  <si>
    <t>Revízie el. zariadení</t>
  </si>
  <si>
    <t>Podprogram 1.4 Voľby</t>
  </si>
  <si>
    <t>01.6.0</t>
  </si>
  <si>
    <t>PROGRAM 2 - ŠKOLSTVO</t>
  </si>
  <si>
    <t>Podprogram 2.1 Materská škola</t>
  </si>
  <si>
    <t>Podprogram 2.2 Základná škola</t>
  </si>
  <si>
    <t>09.2.1.1</t>
  </si>
  <si>
    <t>Originálne kompetencie</t>
  </si>
  <si>
    <t>Podprogram 2.3 Centrum voľného času</t>
  </si>
  <si>
    <t>09.5.0</t>
  </si>
  <si>
    <t>PROGRAM 3 - VODA</t>
  </si>
  <si>
    <t>Podprogram 3.1 Verejný vodovod</t>
  </si>
  <si>
    <t>06.3.0</t>
  </si>
  <si>
    <t>Údržba vodovodu</t>
  </si>
  <si>
    <t>Rozbor vody</t>
  </si>
  <si>
    <t>Odber podzemnej vody</t>
  </si>
  <si>
    <t>Podprogram 3.2 Skupinové vodovody</t>
  </si>
  <si>
    <t>PROGRAM 4 - ODPADOVÉ HOSPODÁRSTVO A ŽIVOTNÉ PROSTREDIE</t>
  </si>
  <si>
    <t>Podprogram 4.1 Komunálny odpad</t>
  </si>
  <si>
    <t>05.1.0</t>
  </si>
  <si>
    <t>Podprogram 4.2 Separovaný zber</t>
  </si>
  <si>
    <t>Kompostéry do domácností</t>
  </si>
  <si>
    <t>Odvoz odpadu</t>
  </si>
  <si>
    <t>Podprogram 4.3 Zberný dvor</t>
  </si>
  <si>
    <t>Podprogram 4.4 Likvidácia skládok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</si>
  <si>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</si>
  <si>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</si>
  <si>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</si>
  <si>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</si>
  <si>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</si>
  <si>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</si>
  <si>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Prvok 5.1.3 Verejné osvetlenie</t>
  </si>
  <si>
    <t>06.4.0</t>
  </si>
  <si>
    <t>Dohoda</t>
  </si>
  <si>
    <t>Prvok 5.1.4 Kamerový systém</t>
  </si>
  <si>
    <t>03.6.0</t>
  </si>
  <si>
    <t>Podprogram 5.2 Komunikácie a verejné priestranstvá</t>
  </si>
  <si>
    <t>Prvok 5.2.1 Miestne komunikácie</t>
  </si>
  <si>
    <t>04.5.1</t>
  </si>
  <si>
    <t>Zimná údržba</t>
  </si>
  <si>
    <t>Cesty a chodníky</t>
  </si>
  <si>
    <t>Kanály</t>
  </si>
  <si>
    <t>Prvok 5.2.2 Verejné priestranstvá</t>
  </si>
  <si>
    <t>06.2.0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</si>
  <si>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</si>
  <si>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</si>
  <si>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</si>
  <si>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</si>
  <si>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</si>
  <si>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</si>
  <si>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</si>
  <si>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Prvok 6.1.2 Ostatné športové kluby</t>
  </si>
  <si>
    <t>Šachový klub</t>
  </si>
  <si>
    <t>Stolný tenis</t>
  </si>
  <si>
    <t>Neslušskí vlci</t>
  </si>
  <si>
    <t>Nerozdelené</t>
  </si>
  <si>
    <t>Podprogram 6.2 Kultúra</t>
  </si>
  <si>
    <t>Prvok 6.2.1 Kultúrny dom</t>
  </si>
  <si>
    <t>08.2.0</t>
  </si>
  <si>
    <t>Dohoda správca</t>
  </si>
  <si>
    <t>Prvok 6.2.2 Kultúrne akcie</t>
  </si>
  <si>
    <t>Chomút</t>
  </si>
  <si>
    <t>Rocknes</t>
  </si>
  <si>
    <t>Hody a iné podujatia</t>
  </si>
  <si>
    <t>Knihy (publikácia)</t>
  </si>
  <si>
    <t>Prvok 6.2.3 Knižnica</t>
  </si>
  <si>
    <t>Podprogram 6.3 Iné služby</t>
  </si>
  <si>
    <t>Prvok 6.3.1 Pohrebná služby</t>
  </si>
  <si>
    <t>08.4.0</t>
  </si>
  <si>
    <t>Pohrebná služba Lisko</t>
  </si>
  <si>
    <t>Prvok 6.3.2 Náboženské a spoločenské spolky a združenia</t>
  </si>
  <si>
    <t>Klub invalidov</t>
  </si>
  <si>
    <t>Červený kríž</t>
  </si>
  <si>
    <t>Priatelia Kysúc</t>
  </si>
  <si>
    <t>Cirkev</t>
  </si>
  <si>
    <t>PROGRAM 7 - SOLIDARITA</t>
  </si>
  <si>
    <t>Podprogram 7.1 Staroba</t>
  </si>
  <si>
    <t>Prvok 7.1.1 Dom opatrovateľskej služby</t>
  </si>
  <si>
    <t>10.2.0</t>
  </si>
  <si>
    <t>Koks</t>
  </si>
  <si>
    <t>Prvok 7.1.2 Starostlivosť o starých občanov</t>
  </si>
  <si>
    <t>Stravovanie</t>
  </si>
  <si>
    <t>Podprogram 7.2 Rodina a hmotná núdza</t>
  </si>
  <si>
    <t>10.4.0</t>
  </si>
  <si>
    <t>10.7.0</t>
  </si>
  <si>
    <t>Podprogram 7.3 Nezamestnanosť</t>
  </si>
  <si>
    <t>PROGRAM 8 - INVESTÍCIE</t>
  </si>
  <si>
    <t>Podprogram 8.1 Samospráva</t>
  </si>
  <si>
    <t>01.1.1-710</t>
  </si>
  <si>
    <t>Rekonštrukcia obecného úradu</t>
  </si>
  <si>
    <t>Kúpa motorového vozidla</t>
  </si>
  <si>
    <t>Zetor Proxima (vlastné)</t>
  </si>
  <si>
    <t>Zetor Proxima (úver)</t>
  </si>
  <si>
    <t>Výkup pozemkov</t>
  </si>
  <si>
    <t>Lesná fréza SEPPI</t>
  </si>
  <si>
    <t>Podprogram 8.2 Školstvo</t>
  </si>
  <si>
    <t>09.1.1.1-710</t>
  </si>
  <si>
    <t>MŠ - zateplenie</t>
  </si>
  <si>
    <t>MŠ - nábytok</t>
  </si>
  <si>
    <t>MŠ - rozšírenie kapacity</t>
  </si>
  <si>
    <t>09.1.2.1-710</t>
  </si>
  <si>
    <t>ZŠ - výmena okien</t>
  </si>
  <si>
    <t>ZŠ - elektroinštalácia</t>
  </si>
  <si>
    <t>ZŠ - átrium</t>
  </si>
  <si>
    <t>ZŠ - oplotenie areálu</t>
  </si>
  <si>
    <t>ZŠ - rekonštrukcia WC</t>
  </si>
  <si>
    <t>ZŠ - strecha</t>
  </si>
  <si>
    <t>ZŠ - neurčené</t>
  </si>
  <si>
    <t>Podprogram 8.3 Voda</t>
  </si>
  <si>
    <t>06.3.0-710</t>
  </si>
  <si>
    <t>Nové trasy</t>
  </si>
  <si>
    <t>Vodojem Chovancovce</t>
  </si>
  <si>
    <t>Rekonštrukcia Močariny</t>
  </si>
  <si>
    <t>Výstavba vodojemov</t>
  </si>
  <si>
    <t>Rekonštruckia vodojemov</t>
  </si>
  <si>
    <t>Projekt obecného vodovodu</t>
  </si>
  <si>
    <t>Podprogram 8.4 Odpadové hospodárstvo a životné prostredie</t>
  </si>
  <si>
    <t>05.1.0-710</t>
  </si>
  <si>
    <t>Zberný dvor</t>
  </si>
  <si>
    <t>Podprogram 8.5 Prostredie pre život</t>
  </si>
  <si>
    <t>04.5.1-710</t>
  </si>
  <si>
    <t>Výstavba miestnych komunikácií</t>
  </si>
  <si>
    <t>Projekt ciest v extraviláne</t>
  </si>
  <si>
    <t>06.2.0-710</t>
  </si>
  <si>
    <t>Projekt centra obce</t>
  </si>
  <si>
    <t>Rekonštrukcia centra obce</t>
  </si>
  <si>
    <t>Átrium v centre obce</t>
  </si>
  <si>
    <t>Regulácia potoka - projekt, obstarávanie</t>
  </si>
  <si>
    <t>Regulácia potoka - realizácia (dotácia)</t>
  </si>
  <si>
    <t>Regulácia potoka - realizácia (vlastné)</t>
  </si>
  <si>
    <t>03.2.0-710</t>
  </si>
  <si>
    <t>Športová úprava striekačky DHZ</t>
  </si>
  <si>
    <t>03.6.0-710</t>
  </si>
  <si>
    <t>Kamerový systém (z dotácie)</t>
  </si>
  <si>
    <t>Kamerový systém (vlastné)</t>
  </si>
  <si>
    <t>Podprogram 8.6 Šport, kultúra a iné spoločenské služby</t>
  </si>
  <si>
    <t>08.1.0-710</t>
  </si>
  <si>
    <t>Projektová dokumentácia</t>
  </si>
  <si>
    <t>Vysporiadanie pozemkov</t>
  </si>
  <si>
    <t>Rekonštrukcia tribúny</t>
  </si>
  <si>
    <t>Podprogram 8.7 Solidarita</t>
  </si>
  <si>
    <t>10.2.0-710</t>
  </si>
  <si>
    <t>DOS - výmena dverí (dotácia)</t>
  </si>
  <si>
    <t>DOS - elektroinštalácia</t>
  </si>
  <si>
    <t>DOS - výmena okien</t>
  </si>
  <si>
    <t>DOS - štúdia prestavby HŠ</t>
  </si>
  <si>
    <t>DOS - plynofikácia</t>
  </si>
  <si>
    <t>Podprogram 8.8 Plánovanie</t>
  </si>
  <si>
    <t>04.4.3-710</t>
  </si>
  <si>
    <t>Územný plán</t>
  </si>
  <si>
    <t>PROGRAM 9 - VYROVNANIE DLHU</t>
  </si>
  <si>
    <t>Podprogram 9.1 Splácanie úverov</t>
  </si>
  <si>
    <t>Splácanie úrokov</t>
  </si>
  <si>
    <t>Splácanie istiny</t>
  </si>
  <si>
    <t>#</t>
  </si>
  <si>
    <t>číslo štvrťroku</t>
  </si>
  <si>
    <t>Skutočnosť v roku 2013</t>
  </si>
  <si>
    <t>Skutočnosť v roku 2014</t>
  </si>
  <si>
    <t>Schválený rozpočet na rok 2015</t>
  </si>
  <si>
    <t>2015 OS</t>
  </si>
  <si>
    <t>Odhad skutočnosti na rok 2015</t>
  </si>
  <si>
    <t>Schválený rozpočet na rok 2016</t>
  </si>
  <si>
    <t>Upravený rozpočet na rok 2016</t>
  </si>
  <si>
    <t>Schválený rozpočet na rok 2017</t>
  </si>
  <si>
    <t>Schválený rozpočet na rok 2018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</si>
  <si>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</si>
  <si>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</si>
  <si>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</si>
  <si>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</si>
  <si>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</si>
  <si>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</si>
  <si>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</si>
  <si>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</si>
  <si>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</si>
  <si>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</si>
  <si>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</si>
  <si>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</si>
  <si>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</si>
  <si>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</si>
  <si>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</si>
  <si>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</si>
  <si>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</si>
  <si>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</si>
  <si>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</si>
  <si>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</si>
  <si>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</si>
  <si>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</si>
  <si>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SZP</t>
  </si>
  <si>
    <t>sociálne znevýhodnené prostredie</t>
  </si>
  <si>
    <t>ŠJ</t>
  </si>
  <si>
    <t>školská jedáleň</t>
  </si>
  <si>
    <t>U#</t>
  </si>
  <si>
    <t>úpravy v kvartáli #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</si>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</sst>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238"/>
    </font>
    <font>
      <sz val="11"/>
      <color rgb="FF000000"/>
      <name val="Arial"/>
      <charset val="238"/>
    </font>
    <font>
      <b/>
      <sz val="11"/>
      <color rgb="FF000000"/>
      <name val="Calibri"/>
      <charset val="238"/>
    </font>
    <font>
      <b/>
      <i/>
      <sz val="11"/>
      <color rgb="FF000000"/>
      <name val="Calibri"/>
      <charset val="238"/>
    </font>
    <font>
      <b/>
      <sz val="9"/>
      <color rgb="FF000000"/>
      <name val="Segoe UI"/>
      <charset val="238"/>
    </font>
    <font>
      <sz val="9"/>
      <color rgb="FF000000"/>
      <name val="Segoe UI"/>
      <charset val="238"/>
    </font>
    <font>
      <i/>
      <sz val="11"/>
      <color rgb="FF000000"/>
      <name val="Calibri"/>
      <charset val="238"/>
    </font>
    <font>
      <sz val="11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1">
    <xf numFmtId="0" fontId="0" fillId="0" borderId="0" xfId="0"/>
    <xf numFmtId="14" fontId="0" fillId="0" borderId="1" xfId="0" applyNumberFormat="1" applyFont="1" applyBorder="1" applyAlignment="1">
      <alignment vertical="center"/>
    </xf>
    <xf numFmtId="0" fontId="2" fillId="7" borderId="0" xfId="0" applyFont="1" applyFill="1" applyAlignment="1"/>
    <xf numFmtId="0" fontId="2" fillId="6" borderId="0" xfId="0" applyFont="1" applyFill="1" applyAlignment="1"/>
    <xf numFmtId="0" fontId="2" fillId="4" borderId="0" xfId="0" applyFont="1" applyFill="1" applyAlignment="1"/>
    <xf numFmtId="0" fontId="0" fillId="5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/>
    <xf numFmtId="9" fontId="0" fillId="0" borderId="0" xfId="0" applyNumberFormat="1"/>
    <xf numFmtId="0" fontId="2" fillId="2" borderId="0" xfId="0" applyFont="1" applyFill="1"/>
    <xf numFmtId="0" fontId="0" fillId="2" borderId="0" xfId="0" applyFill="1"/>
    <xf numFmtId="9" fontId="0" fillId="2" borderId="0" xfId="0" applyNumberForma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 wrapText="1"/>
    </xf>
    <xf numFmtId="9" fontId="0" fillId="3" borderId="0" xfId="0" applyNumberFormat="1" applyFont="1" applyFill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9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9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2" fillId="4" borderId="0" xfId="0" applyFont="1" applyFill="1" applyAlignment="1"/>
    <xf numFmtId="9" fontId="2" fillId="4" borderId="0" xfId="0" applyNumberFormat="1" applyFont="1" applyFill="1" applyAlignment="1"/>
    <xf numFmtId="0" fontId="0" fillId="5" borderId="1" xfId="0" applyFont="1" applyFill="1" applyBorder="1" applyAlignment="1">
      <alignment vertical="center"/>
    </xf>
    <xf numFmtId="0" fontId="0" fillId="5" borderId="1" xfId="0" applyFill="1" applyBorder="1"/>
    <xf numFmtId="4" fontId="0" fillId="5" borderId="1" xfId="0" applyNumberFormat="1" applyFill="1" applyBorder="1"/>
    <xf numFmtId="9" fontId="0" fillId="5" borderId="1" xfId="0" applyNumberFormat="1" applyFill="1" applyBorder="1"/>
    <xf numFmtId="0" fontId="2" fillId="5" borderId="1" xfId="0" applyFont="1" applyFill="1" applyBorder="1"/>
    <xf numFmtId="4" fontId="2" fillId="5" borderId="1" xfId="0" applyNumberFormat="1" applyFont="1" applyFill="1" applyBorder="1"/>
    <xf numFmtId="9" fontId="2" fillId="5" borderId="1" xfId="0" applyNumberFormat="1" applyFont="1" applyFill="1" applyBorder="1"/>
    <xf numFmtId="0" fontId="2" fillId="6" borderId="0" xfId="0" applyFont="1" applyFill="1" applyAlignment="1"/>
    <xf numFmtId="9" fontId="2" fillId="6" borderId="0" xfId="0" applyNumberFormat="1" applyFont="1" applyFill="1" applyAlignment="1"/>
    <xf numFmtId="0" fontId="0" fillId="0" borderId="1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/>
    <xf numFmtId="14" fontId="0" fillId="0" borderId="1" xfId="0" applyNumberFormat="1" applyFont="1" applyBorder="1" applyAlignment="1">
      <alignment horizontal="left" vertical="center"/>
    </xf>
    <xf numFmtId="0" fontId="3" fillId="0" borderId="1" xfId="0" applyFont="1" applyBorder="1"/>
    <xf numFmtId="4" fontId="3" fillId="0" borderId="1" xfId="0" applyNumberFormat="1" applyFont="1" applyBorder="1"/>
    <xf numFmtId="9" fontId="3" fillId="0" borderId="1" xfId="0" applyNumberFormat="1" applyFont="1" applyBorder="1"/>
    <xf numFmtId="0" fontId="0" fillId="0" borderId="4" xfId="0" applyFont="1" applyBorder="1"/>
    <xf numFmtId="4" fontId="0" fillId="0" borderId="2" xfId="0" applyNumberFormat="1" applyBorder="1"/>
    <xf numFmtId="9" fontId="0" fillId="0" borderId="2" xfId="0" applyNumberFormat="1" applyBorder="1"/>
    <xf numFmtId="9" fontId="0" fillId="0" borderId="3" xfId="0" applyNumberFormat="1" applyBorder="1"/>
    <xf numFmtId="4" fontId="0" fillId="0" borderId="3" xfId="0" applyNumberFormat="1" applyBorder="1"/>
    <xf numFmtId="0" fontId="0" fillId="0" borderId="5" xfId="0" applyBorder="1"/>
    <xf numFmtId="0" fontId="0" fillId="0" borderId="0" xfId="0" applyFont="1"/>
    <xf numFmtId="4" fontId="0" fillId="0" borderId="0" xfId="0" applyNumberFormat="1"/>
    <xf numFmtId="9" fontId="0" fillId="0" borderId="6" xfId="0" applyNumberFormat="1" applyBorder="1"/>
    <xf numFmtId="4" fontId="0" fillId="0" borderId="6" xfId="0" applyNumberFormat="1" applyBorder="1"/>
    <xf numFmtId="4" fontId="0" fillId="0" borderId="0" xfId="0" applyNumberFormat="1"/>
    <xf numFmtId="9" fontId="0" fillId="0" borderId="0" xfId="0" applyNumberFormat="1"/>
    <xf numFmtId="9" fontId="0" fillId="0" borderId="6" xfId="0" applyNumberFormat="1" applyBorder="1"/>
    <xf numFmtId="0" fontId="0" fillId="0" borderId="7" xfId="0" applyBorder="1"/>
    <xf numFmtId="0" fontId="0" fillId="0" borderId="8" xfId="0" applyFont="1" applyBorder="1"/>
    <xf numFmtId="4" fontId="0" fillId="0" borderId="8" xfId="0" applyNumberFormat="1" applyBorder="1"/>
    <xf numFmtId="9" fontId="0" fillId="0" borderId="8" xfId="0" applyNumberFormat="1" applyBorder="1"/>
    <xf numFmtId="9" fontId="0" fillId="0" borderId="9" xfId="0" applyNumberFormat="1" applyBorder="1"/>
    <xf numFmtId="4" fontId="0" fillId="0" borderId="9" xfId="0" applyNumberFormat="1" applyBorder="1"/>
    <xf numFmtId="4" fontId="0" fillId="5" borderId="1" xfId="0" applyNumberFormat="1" applyFill="1" applyBorder="1" applyAlignment="1"/>
    <xf numFmtId="9" fontId="0" fillId="5" borderId="1" xfId="0" applyNumberFormat="1" applyFill="1" applyBorder="1" applyAlignment="1"/>
    <xf numFmtId="0" fontId="2" fillId="7" borderId="0" xfId="0" applyFont="1" applyFill="1" applyAlignment="1"/>
    <xf numFmtId="9" fontId="2" fillId="7" borderId="0" xfId="0" applyNumberFormat="1" applyFont="1" applyFill="1" applyAlignment="1"/>
    <xf numFmtId="4" fontId="0" fillId="0" borderId="1" xfId="0" applyNumberFormat="1" applyBorder="1" applyAlignment="1"/>
    <xf numFmtId="9" fontId="0" fillId="0" borderId="1" xfId="0" applyNumberFormat="1" applyBorder="1" applyAlignment="1"/>
    <xf numFmtId="14" fontId="2" fillId="0" borderId="1" xfId="0" applyNumberFormat="1" applyFont="1" applyBorder="1"/>
    <xf numFmtId="0" fontId="0" fillId="0" borderId="8" xfId="0" applyFont="1" applyBorder="1"/>
    <xf numFmtId="4" fontId="2" fillId="0" borderId="0" xfId="0" applyNumberFormat="1" applyFont="1"/>
    <xf numFmtId="9" fontId="2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4" fontId="0" fillId="0" borderId="11" xfId="0" applyNumberFormat="1" applyBorder="1"/>
    <xf numFmtId="9" fontId="0" fillId="0" borderId="11" xfId="0" applyNumberFormat="1" applyBorder="1"/>
    <xf numFmtId="9" fontId="0" fillId="0" borderId="12" xfId="0" applyNumberFormat="1" applyBorder="1"/>
    <xf numFmtId="4" fontId="0" fillId="0" borderId="12" xfId="0" applyNumberFormat="1" applyBorder="1"/>
    <xf numFmtId="14" fontId="0" fillId="0" borderId="1" xfId="0" applyNumberFormat="1" applyFont="1" applyBorder="1" applyAlignment="1">
      <alignment vertical="center"/>
    </xf>
    <xf numFmtId="14" fontId="6" fillId="0" borderId="1" xfId="0" applyNumberFormat="1" applyFont="1" applyBorder="1"/>
    <xf numFmtId="0" fontId="6" fillId="0" borderId="1" xfId="0" applyFont="1" applyBorder="1"/>
    <xf numFmtId="4" fontId="6" fillId="0" borderId="1" xfId="0" applyNumberFormat="1" applyFont="1" applyBorder="1"/>
    <xf numFmtId="9" fontId="6" fillId="0" borderId="1" xfId="0" applyNumberFormat="1" applyFont="1" applyBorder="1"/>
    <xf numFmtId="14" fontId="0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9" fontId="0" fillId="0" borderId="1" xfId="0" applyNumberFormat="1" applyBorder="1"/>
    <xf numFmtId="14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9" fontId="2" fillId="0" borderId="1" xfId="0" applyNumberFormat="1" applyFont="1" applyBorder="1"/>
    <xf numFmtId="4" fontId="0" fillId="0" borderId="2" xfId="0" applyNumberFormat="1" applyBorder="1"/>
    <xf numFmtId="0" fontId="0" fillId="3" borderId="8" xfId="0" applyFill="1" applyBorder="1" applyAlignment="1">
      <alignment horizontal="center"/>
    </xf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0" fillId="0" borderId="13" xfId="0" applyFont="1" applyBorder="1" applyAlignment="1">
      <alignment vertical="center"/>
    </xf>
    <xf numFmtId="0" fontId="0" fillId="0" borderId="13" xfId="0" applyBorder="1"/>
    <xf numFmtId="4" fontId="0" fillId="0" borderId="13" xfId="0" applyNumberFormat="1" applyBorder="1"/>
    <xf numFmtId="4" fontId="0" fillId="0" borderId="8" xfId="0" applyNumberFormat="1" applyBorder="1"/>
    <xf numFmtId="9" fontId="0" fillId="0" borderId="8" xfId="0" applyNumberFormat="1" applyBorder="1"/>
    <xf numFmtId="9" fontId="0" fillId="0" borderId="9" xfId="0" applyNumberFormat="1" applyBorder="1"/>
    <xf numFmtId="14" fontId="0" fillId="0" borderId="14" xfId="0" applyNumberFormat="1" applyFont="1" applyBorder="1" applyAlignment="1">
      <alignment vertical="center"/>
    </xf>
    <xf numFmtId="14" fontId="0" fillId="0" borderId="13" xfId="0" applyNumberFormat="1" applyFont="1" applyBorder="1" applyAlignment="1">
      <alignment vertical="center"/>
    </xf>
    <xf numFmtId="0" fontId="0" fillId="3" borderId="8" xfId="0" applyFill="1" applyBorder="1" applyAlignment="1">
      <alignment horizontal="center" wrapText="1"/>
    </xf>
    <xf numFmtId="0" fontId="0" fillId="0" borderId="15" xfId="0" applyFont="1" applyBorder="1" applyAlignment="1">
      <alignment vertical="center"/>
    </xf>
    <xf numFmtId="0" fontId="0" fillId="0" borderId="10" xfId="0" applyFont="1" applyBorder="1"/>
    <xf numFmtId="0" fontId="0" fillId="0" borderId="1" xfId="0" applyFont="1" applyBorder="1" applyAlignment="1"/>
    <xf numFmtId="0" fontId="0" fillId="0" borderId="12" xfId="0" applyBorder="1"/>
    <xf numFmtId="0" fontId="1" fillId="0" borderId="0" xfId="1" applyFont="1" applyAlignment="1" applyProtection="1"/>
    <xf numFmtId="0" fontId="7" fillId="0" borderId="0" xfId="1" applyFont="1" applyAlignment="1" applyProtection="1"/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57150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25</xdr:col>
      <xdr:colOff>57150</xdr:colOff>
      <xdr:row>50</xdr:row>
      <xdr:rowOff>19050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25</xdr:col>
      <xdr:colOff>57150</xdr:colOff>
      <xdr:row>50</xdr:row>
      <xdr:rowOff>19050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57150</xdr:colOff>
      <xdr:row>50</xdr:row>
      <xdr:rowOff>19050</xdr:rowOff>
    </xdr:to>
    <xdr:sp macro="" textlink="">
      <xdr:nvSpPr>
        <xdr:cNvPr id="205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28</xdr:col>
      <xdr:colOff>57150</xdr:colOff>
      <xdr:row>50</xdr:row>
      <xdr:rowOff>19050</xdr:rowOff>
    </xdr:to>
    <xdr:sp macro="" textlink="">
      <xdr:nvSpPr>
        <xdr:cNvPr id="205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28</xdr:col>
      <xdr:colOff>57150</xdr:colOff>
      <xdr:row>50</xdr:row>
      <xdr:rowOff>19050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28</xdr:col>
      <xdr:colOff>57150</xdr:colOff>
      <xdr:row>50</xdr:row>
      <xdr:rowOff>19050</xdr:rowOff>
    </xdr:to>
    <xdr:sp macro="" textlink="">
      <xdr:nvSpPr>
        <xdr:cNvPr id="2050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13"/>
  <sheetViews>
    <sheetView tabSelected="1" zoomScaleNormal="100" workbookViewId="0"/>
  </sheetViews>
  <sheetFormatPr defaultRowHeight="15" x14ac:dyDescent="0.25"/>
  <cols>
    <col min="1" max="1" width="11.5703125" style="10" customWidth="1"/>
    <col min="2" max="2" width="8.5703125" style="10" customWidth="1"/>
    <col min="3" max="3" width="18.140625" style="10" customWidth="1"/>
    <col min="4" max="7" width="10.85546875" style="10" hidden="1" customWidth="1"/>
    <col min="8" max="8" width="11.42578125" style="10" bestFit="1" customWidth="1"/>
    <col min="9" max="12" width="10.85546875" style="10" hidden="1" customWidth="1"/>
    <col min="13" max="13" width="11.42578125" style="10" bestFit="1" customWidth="1"/>
    <col min="14" max="14" width="11" style="10" customWidth="1"/>
    <col min="15" max="15" width="5.28515625" style="11" customWidth="1"/>
    <col min="16" max="16" width="11.42578125" style="10" bestFit="1" customWidth="1"/>
    <col min="17" max="17" width="5.5703125" style="11" customWidth="1"/>
    <col min="18" max="18" width="11.42578125" style="10" bestFit="1" customWidth="1"/>
    <col min="19" max="19" width="5.28515625" style="11" customWidth="1"/>
    <col min="20" max="20" width="11.42578125" style="10" bestFit="1" customWidth="1"/>
    <col min="21" max="21" width="5.5703125" style="11" customWidth="1"/>
    <col min="22" max="23" width="10.85546875" style="10" hidden="1" customWidth="1"/>
    <col min="24" max="1025" width="8.5703125" style="10" customWidth="1"/>
  </cols>
  <sheetData>
    <row r="1" spans="1:23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14"/>
      <c r="R1" s="13"/>
      <c r="S1" s="14"/>
      <c r="T1" s="13"/>
      <c r="U1" s="14"/>
      <c r="V1" s="13"/>
      <c r="W1" s="13"/>
    </row>
    <row r="2" spans="1:23" x14ac:dyDescent="0.25">
      <c r="A2" s="15"/>
      <c r="B2" s="15"/>
      <c r="C2" s="15"/>
      <c r="D2" s="16" t="s">
        <v>1</v>
      </c>
      <c r="E2" s="16" t="s">
        <v>2</v>
      </c>
      <c r="F2" s="16" t="s">
        <v>3</v>
      </c>
      <c r="G2" s="16" t="s">
        <v>4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7" t="s">
        <v>12</v>
      </c>
      <c r="P2" s="16" t="s">
        <v>13</v>
      </c>
      <c r="Q2" s="17" t="s">
        <v>14</v>
      </c>
      <c r="R2" s="16" t="s">
        <v>15</v>
      </c>
      <c r="S2" s="17" t="s">
        <v>16</v>
      </c>
      <c r="T2" s="16" t="s">
        <v>17</v>
      </c>
      <c r="U2" s="17" t="s">
        <v>18</v>
      </c>
      <c r="V2" s="16" t="s">
        <v>19</v>
      </c>
      <c r="W2" s="16" t="s">
        <v>20</v>
      </c>
    </row>
    <row r="3" spans="1:23" ht="13.9" customHeight="1" x14ac:dyDescent="0.25">
      <c r="A3" s="9" t="s">
        <v>21</v>
      </c>
      <c r="B3" s="18">
        <v>111</v>
      </c>
      <c r="C3" s="18" t="s">
        <v>22</v>
      </c>
      <c r="D3" s="19">
        <f>D68</f>
        <v>467659.65</v>
      </c>
      <c r="E3" s="19">
        <f>E68-E95</f>
        <v>464738.5199999999</v>
      </c>
      <c r="F3" s="19">
        <f t="shared" ref="F3:L3" si="0">F68</f>
        <v>480248</v>
      </c>
      <c r="G3" s="19">
        <f t="shared" si="0"/>
        <v>486713.67</v>
      </c>
      <c r="H3" s="19">
        <f t="shared" si="0"/>
        <v>513430</v>
      </c>
      <c r="I3" s="19">
        <f t="shared" si="0"/>
        <v>9498</v>
      </c>
      <c r="J3" s="19">
        <f t="shared" si="0"/>
        <v>700</v>
      </c>
      <c r="K3" s="19">
        <f t="shared" si="0"/>
        <v>50000</v>
      </c>
      <c r="L3" s="19">
        <f t="shared" si="0"/>
        <v>15079</v>
      </c>
      <c r="M3" s="19">
        <f>H3+SUM(I3:L3)-M95</f>
        <v>538707</v>
      </c>
      <c r="N3" s="19">
        <f>N68</f>
        <v>138220.44</v>
      </c>
      <c r="O3" s="20">
        <f t="shared" ref="O3:O16" si="1">N3/$M3</f>
        <v>0.25657813987937783</v>
      </c>
      <c r="P3" s="19">
        <f>P68-P95</f>
        <v>254967.11</v>
      </c>
      <c r="Q3" s="20">
        <f t="shared" ref="Q3:Q16" si="2">P3/$M3</f>
        <v>0.47329459242222577</v>
      </c>
      <c r="R3" s="19">
        <f>R68-R95</f>
        <v>379028.73000000004</v>
      </c>
      <c r="S3" s="20">
        <f t="shared" ref="S3:S16" si="3">R3/$M3</f>
        <v>0.70358976215271019</v>
      </c>
      <c r="T3" s="19">
        <f>T68-T95</f>
        <v>515026.47000000009</v>
      </c>
      <c r="U3" s="20">
        <f t="shared" ref="U3:U16" si="4">T3/$M3</f>
        <v>0.95604191146578765</v>
      </c>
      <c r="V3" s="19">
        <f>V68</f>
        <v>522208</v>
      </c>
      <c r="W3" s="19">
        <f>W68</f>
        <v>522208</v>
      </c>
    </row>
    <row r="4" spans="1:23" x14ac:dyDescent="0.25">
      <c r="A4" s="9"/>
      <c r="B4" s="18">
        <v>41</v>
      </c>
      <c r="C4" s="18" t="s">
        <v>23</v>
      </c>
      <c r="D4" s="19">
        <f t="shared" ref="D4:L4" si="5">D20+D38-D7</f>
        <v>832913.13</v>
      </c>
      <c r="E4" s="19">
        <f t="shared" si="5"/>
        <v>815576.10999999987</v>
      </c>
      <c r="F4" s="19">
        <f t="shared" si="5"/>
        <v>872589</v>
      </c>
      <c r="G4" s="19">
        <f t="shared" si="5"/>
        <v>900364.64999999991</v>
      </c>
      <c r="H4" s="19">
        <f t="shared" si="5"/>
        <v>954999</v>
      </c>
      <c r="I4" s="19">
        <f t="shared" si="5"/>
        <v>8199</v>
      </c>
      <c r="J4" s="19">
        <f t="shared" si="5"/>
        <v>2729</v>
      </c>
      <c r="K4" s="19">
        <f t="shared" si="5"/>
        <v>9620</v>
      </c>
      <c r="L4" s="19">
        <f t="shared" si="5"/>
        <v>1872.7299999999996</v>
      </c>
      <c r="M4" s="19">
        <f>H4+SUM(I4:L4)</f>
        <v>977419.73</v>
      </c>
      <c r="N4" s="19">
        <f>N20+N38-N7</f>
        <v>283874.77999999997</v>
      </c>
      <c r="O4" s="20">
        <f t="shared" si="1"/>
        <v>0.29043283175795925</v>
      </c>
      <c r="P4" s="19">
        <f>P20+P38-P7</f>
        <v>510498.63999999996</v>
      </c>
      <c r="Q4" s="20">
        <f t="shared" si="2"/>
        <v>0.52229213748324888</v>
      </c>
      <c r="R4" s="19">
        <f>R20+R38-R7</f>
        <v>762883.49999999988</v>
      </c>
      <c r="S4" s="20">
        <f t="shared" si="3"/>
        <v>0.78050757170616958</v>
      </c>
      <c r="T4" s="19">
        <f>T20+T38-T7</f>
        <v>1022076.98</v>
      </c>
      <c r="U4" s="20">
        <f t="shared" si="4"/>
        <v>1.0456889181068607</v>
      </c>
      <c r="V4" s="19">
        <f>V20+V38-V7</f>
        <v>954999</v>
      </c>
      <c r="W4" s="19">
        <f>W20+W38-W7</f>
        <v>954999</v>
      </c>
    </row>
    <row r="5" spans="1:23" x14ac:dyDescent="0.25">
      <c r="A5" s="9"/>
      <c r="B5" s="18"/>
      <c r="C5" s="21" t="s">
        <v>24</v>
      </c>
      <c r="D5" s="22">
        <f t="shared" ref="D5:N5" si="6">SUM(D3:D4)</f>
        <v>1300572.78</v>
      </c>
      <c r="E5" s="22">
        <f t="shared" si="6"/>
        <v>1280314.6299999999</v>
      </c>
      <c r="F5" s="22">
        <f t="shared" si="6"/>
        <v>1352837</v>
      </c>
      <c r="G5" s="22">
        <f t="shared" si="6"/>
        <v>1387078.3199999998</v>
      </c>
      <c r="H5" s="22">
        <f t="shared" si="6"/>
        <v>1468429</v>
      </c>
      <c r="I5" s="22">
        <f t="shared" si="6"/>
        <v>17697</v>
      </c>
      <c r="J5" s="22">
        <f t="shared" si="6"/>
        <v>3429</v>
      </c>
      <c r="K5" s="22">
        <f t="shared" si="6"/>
        <v>59620</v>
      </c>
      <c r="L5" s="22">
        <f t="shared" si="6"/>
        <v>16951.73</v>
      </c>
      <c r="M5" s="22">
        <f t="shared" si="6"/>
        <v>1516126.73</v>
      </c>
      <c r="N5" s="22">
        <f t="shared" si="6"/>
        <v>422095.22</v>
      </c>
      <c r="O5" s="23">
        <f t="shared" si="1"/>
        <v>0.27840365297167474</v>
      </c>
      <c r="P5" s="22">
        <f>SUM(P3:P4)</f>
        <v>765465.75</v>
      </c>
      <c r="Q5" s="23">
        <f t="shared" si="2"/>
        <v>0.50488243156296042</v>
      </c>
      <c r="R5" s="22">
        <f>SUM(R3:R4)</f>
        <v>1141912.23</v>
      </c>
      <c r="S5" s="23">
        <f t="shared" si="3"/>
        <v>0.75317729540986322</v>
      </c>
      <c r="T5" s="22">
        <f>SUM(T3:T4)</f>
        <v>1537103.4500000002</v>
      </c>
      <c r="U5" s="23">
        <f t="shared" si="4"/>
        <v>1.0138357299458736</v>
      </c>
      <c r="V5" s="22">
        <f>SUM(V3:V4)</f>
        <v>1477207</v>
      </c>
      <c r="W5" s="22">
        <f>SUM(W3:W4)</f>
        <v>1477207</v>
      </c>
    </row>
    <row r="6" spans="1:23" x14ac:dyDescent="0.25">
      <c r="A6" s="9"/>
      <c r="B6" s="18">
        <v>111</v>
      </c>
      <c r="C6" s="18" t="s">
        <v>22</v>
      </c>
      <c r="D6" s="19">
        <v>0</v>
      </c>
      <c r="E6" s="19">
        <f>E95</f>
        <v>10000</v>
      </c>
      <c r="F6" s="19">
        <v>0</v>
      </c>
      <c r="G6" s="19">
        <v>0</v>
      </c>
      <c r="H6" s="19">
        <v>0</v>
      </c>
      <c r="I6" s="19"/>
      <c r="J6" s="19"/>
      <c r="K6" s="19"/>
      <c r="L6" s="19"/>
      <c r="M6" s="19">
        <f>H6+SUM(I6:L6)+M95</f>
        <v>50000</v>
      </c>
      <c r="N6" s="19">
        <v>0</v>
      </c>
      <c r="O6" s="20">
        <f t="shared" si="1"/>
        <v>0</v>
      </c>
      <c r="P6" s="19">
        <f>P95</f>
        <v>50000</v>
      </c>
      <c r="Q6" s="20">
        <f t="shared" si="2"/>
        <v>1</v>
      </c>
      <c r="R6" s="19">
        <f>R95</f>
        <v>50000</v>
      </c>
      <c r="S6" s="20">
        <f t="shared" si="3"/>
        <v>1</v>
      </c>
      <c r="T6" s="19">
        <f>T95</f>
        <v>50000</v>
      </c>
      <c r="U6" s="20">
        <f t="shared" si="4"/>
        <v>1</v>
      </c>
      <c r="V6" s="19">
        <v>0</v>
      </c>
      <c r="W6" s="19">
        <v>0</v>
      </c>
    </row>
    <row r="7" spans="1:23" x14ac:dyDescent="0.25">
      <c r="A7" s="9"/>
      <c r="B7" s="18">
        <v>43</v>
      </c>
      <c r="C7" s="18" t="s">
        <v>23</v>
      </c>
      <c r="D7" s="19">
        <v>0</v>
      </c>
      <c r="E7" s="19">
        <f>E45</f>
        <v>1072.5</v>
      </c>
      <c r="F7" s="19">
        <v>0</v>
      </c>
      <c r="G7" s="19">
        <v>280</v>
      </c>
      <c r="H7" s="19">
        <v>0</v>
      </c>
      <c r="I7" s="19"/>
      <c r="J7" s="19"/>
      <c r="K7" s="19"/>
      <c r="L7" s="19"/>
      <c r="M7" s="19">
        <f>H7+SUM(I7:L7)</f>
        <v>0</v>
      </c>
      <c r="N7" s="19">
        <v>0</v>
      </c>
      <c r="O7" s="20" t="e">
        <f t="shared" si="1"/>
        <v>#DIV/0!</v>
      </c>
      <c r="P7" s="19">
        <v>0</v>
      </c>
      <c r="Q7" s="20" t="e">
        <f t="shared" si="2"/>
        <v>#DIV/0!</v>
      </c>
      <c r="R7" s="19">
        <v>0</v>
      </c>
      <c r="S7" s="20" t="e">
        <f t="shared" si="3"/>
        <v>#DIV/0!</v>
      </c>
      <c r="T7" s="19">
        <v>0</v>
      </c>
      <c r="U7" s="20" t="e">
        <f t="shared" si="4"/>
        <v>#DIV/0!</v>
      </c>
      <c r="V7" s="19">
        <v>0</v>
      </c>
      <c r="W7" s="19">
        <v>0</v>
      </c>
    </row>
    <row r="8" spans="1:23" x14ac:dyDescent="0.25">
      <c r="A8" s="9"/>
      <c r="B8" s="18"/>
      <c r="C8" s="21" t="s">
        <v>25</v>
      </c>
      <c r="D8" s="22">
        <f t="shared" ref="D8:N8" si="7">SUM(D6:D7)</f>
        <v>0</v>
      </c>
      <c r="E8" s="22">
        <f t="shared" si="7"/>
        <v>11072.5</v>
      </c>
      <c r="F8" s="22">
        <f t="shared" si="7"/>
        <v>0</v>
      </c>
      <c r="G8" s="22">
        <f t="shared" si="7"/>
        <v>280</v>
      </c>
      <c r="H8" s="22">
        <f t="shared" si="7"/>
        <v>0</v>
      </c>
      <c r="I8" s="22">
        <f t="shared" si="7"/>
        <v>0</v>
      </c>
      <c r="J8" s="22">
        <f t="shared" si="7"/>
        <v>0</v>
      </c>
      <c r="K8" s="22">
        <f t="shared" si="7"/>
        <v>0</v>
      </c>
      <c r="L8" s="22">
        <f t="shared" si="7"/>
        <v>0</v>
      </c>
      <c r="M8" s="22">
        <f t="shared" si="7"/>
        <v>50000</v>
      </c>
      <c r="N8" s="22">
        <f t="shared" si="7"/>
        <v>0</v>
      </c>
      <c r="O8" s="23">
        <f t="shared" si="1"/>
        <v>0</v>
      </c>
      <c r="P8" s="22">
        <f>SUM(P6:P7)</f>
        <v>50000</v>
      </c>
      <c r="Q8" s="23">
        <f t="shared" si="2"/>
        <v>1</v>
      </c>
      <c r="R8" s="22">
        <f>SUM(R6:R7)</f>
        <v>50000</v>
      </c>
      <c r="S8" s="23">
        <f t="shared" si="3"/>
        <v>1</v>
      </c>
      <c r="T8" s="22">
        <f>SUM(T6:T7)</f>
        <v>50000</v>
      </c>
      <c r="U8" s="23">
        <f t="shared" si="4"/>
        <v>1</v>
      </c>
      <c r="V8" s="22">
        <f>SUM(V6:V7)</f>
        <v>0</v>
      </c>
      <c r="W8" s="22">
        <f>SUM(W6:W7)</f>
        <v>0</v>
      </c>
    </row>
    <row r="9" spans="1:23" x14ac:dyDescent="0.25">
      <c r="A9" s="9"/>
      <c r="B9" s="18">
        <v>131</v>
      </c>
      <c r="C9" s="18" t="s">
        <v>22</v>
      </c>
      <c r="D9" s="19">
        <f t="shared" ref="D9:L9" si="8">D100</f>
        <v>0</v>
      </c>
      <c r="E9" s="19">
        <f t="shared" si="8"/>
        <v>22382.36</v>
      </c>
      <c r="F9" s="19">
        <f t="shared" si="8"/>
        <v>17331</v>
      </c>
      <c r="G9" s="19">
        <f t="shared" si="8"/>
        <v>17330.41</v>
      </c>
      <c r="H9" s="19">
        <f t="shared" si="8"/>
        <v>0</v>
      </c>
      <c r="I9" s="19">
        <f t="shared" si="8"/>
        <v>0</v>
      </c>
      <c r="J9" s="19">
        <f t="shared" si="8"/>
        <v>0</v>
      </c>
      <c r="K9" s="19">
        <f t="shared" si="8"/>
        <v>0</v>
      </c>
      <c r="L9" s="19">
        <f t="shared" si="8"/>
        <v>0</v>
      </c>
      <c r="M9" s="19">
        <f>H9+SUM(I9:L9)</f>
        <v>0</v>
      </c>
      <c r="N9" s="19">
        <f>N100</f>
        <v>3513.02</v>
      </c>
      <c r="O9" s="20" t="e">
        <f t="shared" si="1"/>
        <v>#DIV/0!</v>
      </c>
      <c r="P9" s="19">
        <f>P100</f>
        <v>3513.02</v>
      </c>
      <c r="Q9" s="20" t="e">
        <f t="shared" si="2"/>
        <v>#DIV/0!</v>
      </c>
      <c r="R9" s="19">
        <f>R100</f>
        <v>3513.02</v>
      </c>
      <c r="S9" s="20" t="e">
        <f t="shared" si="3"/>
        <v>#DIV/0!</v>
      </c>
      <c r="T9" s="19">
        <f>T100</f>
        <v>3513.02</v>
      </c>
      <c r="U9" s="20" t="e">
        <f t="shared" si="4"/>
        <v>#DIV/0!</v>
      </c>
      <c r="V9" s="19">
        <f t="shared" ref="V9:W11" si="9">V100</f>
        <v>0</v>
      </c>
      <c r="W9" s="19">
        <f t="shared" si="9"/>
        <v>0</v>
      </c>
    </row>
    <row r="10" spans="1:23" x14ac:dyDescent="0.25">
      <c r="A10" s="9"/>
      <c r="B10" s="18">
        <v>41</v>
      </c>
      <c r="C10" s="18" t="s">
        <v>23</v>
      </c>
      <c r="D10" s="19">
        <f t="shared" ref="D10:L10" si="10">D101</f>
        <v>2312.21</v>
      </c>
      <c r="E10" s="19">
        <f t="shared" si="10"/>
        <v>3387.31</v>
      </c>
      <c r="F10" s="19">
        <f t="shared" si="10"/>
        <v>12907</v>
      </c>
      <c r="G10" s="19">
        <f t="shared" si="10"/>
        <v>12173.51</v>
      </c>
      <c r="H10" s="19">
        <f t="shared" si="10"/>
        <v>182899</v>
      </c>
      <c r="I10" s="19">
        <f t="shared" si="10"/>
        <v>0</v>
      </c>
      <c r="J10" s="19">
        <f t="shared" si="10"/>
        <v>0</v>
      </c>
      <c r="K10" s="19">
        <f t="shared" si="10"/>
        <v>0</v>
      </c>
      <c r="L10" s="19">
        <f t="shared" si="10"/>
        <v>1844</v>
      </c>
      <c r="M10" s="19">
        <f>H10+SUM(I10:L10)</f>
        <v>184743</v>
      </c>
      <c r="N10" s="19">
        <f>N101</f>
        <v>206590.62</v>
      </c>
      <c r="O10" s="20">
        <f t="shared" si="1"/>
        <v>1.1182595281012</v>
      </c>
      <c r="P10" s="19">
        <f>P101</f>
        <v>206590.62</v>
      </c>
      <c r="Q10" s="20">
        <f t="shared" si="2"/>
        <v>1.1182595281012</v>
      </c>
      <c r="R10" s="19">
        <f>R101</f>
        <v>206590.62</v>
      </c>
      <c r="S10" s="20">
        <f t="shared" si="3"/>
        <v>1.1182595281012</v>
      </c>
      <c r="T10" s="19">
        <f>T101</f>
        <v>206590.62</v>
      </c>
      <c r="U10" s="20">
        <f t="shared" si="4"/>
        <v>1.1182595281012</v>
      </c>
      <c r="V10" s="19">
        <f t="shared" si="9"/>
        <v>0</v>
      </c>
      <c r="W10" s="19">
        <f t="shared" si="9"/>
        <v>0</v>
      </c>
    </row>
    <row r="11" spans="1:23" x14ac:dyDescent="0.25">
      <c r="A11" s="9"/>
      <c r="B11" s="18">
        <v>52</v>
      </c>
      <c r="C11" s="18" t="s">
        <v>26</v>
      </c>
      <c r="D11" s="19">
        <f t="shared" ref="D11:L11" si="11">D102</f>
        <v>34488.01</v>
      </c>
      <c r="E11" s="19">
        <f t="shared" si="11"/>
        <v>0</v>
      </c>
      <c r="F11" s="19">
        <f t="shared" si="11"/>
        <v>0</v>
      </c>
      <c r="G11" s="19">
        <f t="shared" si="11"/>
        <v>0</v>
      </c>
      <c r="H11" s="19">
        <f t="shared" si="11"/>
        <v>0</v>
      </c>
      <c r="I11" s="19">
        <f t="shared" si="11"/>
        <v>0</v>
      </c>
      <c r="J11" s="19">
        <f t="shared" si="11"/>
        <v>0</v>
      </c>
      <c r="K11" s="19">
        <f t="shared" si="11"/>
        <v>0</v>
      </c>
      <c r="L11" s="19">
        <f t="shared" si="11"/>
        <v>0</v>
      </c>
      <c r="M11" s="19">
        <f>H11+SUM(I11:L11)</f>
        <v>0</v>
      </c>
      <c r="N11" s="19">
        <f>N102</f>
        <v>0</v>
      </c>
      <c r="O11" s="20" t="e">
        <f t="shared" si="1"/>
        <v>#DIV/0!</v>
      </c>
      <c r="P11" s="19">
        <f>P102</f>
        <v>0</v>
      </c>
      <c r="Q11" s="20" t="e">
        <f t="shared" si="2"/>
        <v>#DIV/0!</v>
      </c>
      <c r="R11" s="19">
        <f>R102</f>
        <v>0</v>
      </c>
      <c r="S11" s="20" t="e">
        <f t="shared" si="3"/>
        <v>#DIV/0!</v>
      </c>
      <c r="T11" s="19">
        <f>T102</f>
        <v>0</v>
      </c>
      <c r="U11" s="20" t="e">
        <f t="shared" si="4"/>
        <v>#DIV/0!</v>
      </c>
      <c r="V11" s="19">
        <f t="shared" si="9"/>
        <v>0</v>
      </c>
      <c r="W11" s="19">
        <f t="shared" si="9"/>
        <v>0</v>
      </c>
    </row>
    <row r="12" spans="1:23" x14ac:dyDescent="0.25">
      <c r="A12" s="9"/>
      <c r="B12" s="18"/>
      <c r="C12" s="21" t="s">
        <v>27</v>
      </c>
      <c r="D12" s="22">
        <f t="shared" ref="D12:N12" si="12">SUM(D9:D11)</f>
        <v>36800.22</v>
      </c>
      <c r="E12" s="22">
        <f t="shared" si="12"/>
        <v>25769.670000000002</v>
      </c>
      <c r="F12" s="22">
        <f t="shared" si="12"/>
        <v>30238</v>
      </c>
      <c r="G12" s="22">
        <f t="shared" si="12"/>
        <v>29503.919999999998</v>
      </c>
      <c r="H12" s="22">
        <f t="shared" si="12"/>
        <v>182899</v>
      </c>
      <c r="I12" s="22">
        <f t="shared" si="12"/>
        <v>0</v>
      </c>
      <c r="J12" s="22">
        <f t="shared" si="12"/>
        <v>0</v>
      </c>
      <c r="K12" s="22">
        <f t="shared" si="12"/>
        <v>0</v>
      </c>
      <c r="L12" s="22">
        <f t="shared" si="12"/>
        <v>1844</v>
      </c>
      <c r="M12" s="22">
        <f t="shared" si="12"/>
        <v>184743</v>
      </c>
      <c r="N12" s="22">
        <f t="shared" si="12"/>
        <v>210103.63999999998</v>
      </c>
      <c r="O12" s="23">
        <f t="shared" si="1"/>
        <v>1.1372752418224235</v>
      </c>
      <c r="P12" s="22">
        <f>SUM(P9:P11)</f>
        <v>210103.63999999998</v>
      </c>
      <c r="Q12" s="23">
        <f t="shared" si="2"/>
        <v>1.1372752418224235</v>
      </c>
      <c r="R12" s="22">
        <f>SUM(R9:R11)</f>
        <v>210103.63999999998</v>
      </c>
      <c r="S12" s="23">
        <f t="shared" si="3"/>
        <v>1.1372752418224235</v>
      </c>
      <c r="T12" s="22">
        <f>SUM(T9:T11)</f>
        <v>210103.63999999998</v>
      </c>
      <c r="U12" s="23">
        <f t="shared" si="4"/>
        <v>1.1372752418224235</v>
      </c>
      <c r="V12" s="22">
        <f>SUM(V9:V11)</f>
        <v>0</v>
      </c>
      <c r="W12" s="22">
        <f>SUM(W9:W11)</f>
        <v>0</v>
      </c>
    </row>
    <row r="13" spans="1:23" x14ac:dyDescent="0.25">
      <c r="A13" s="9"/>
      <c r="B13" s="18">
        <v>111</v>
      </c>
      <c r="C13" s="18" t="s">
        <v>22</v>
      </c>
      <c r="D13" s="19">
        <f t="shared" ref="D13:L13" si="13">D3+D6+D9</f>
        <v>467659.65</v>
      </c>
      <c r="E13" s="19">
        <f t="shared" si="13"/>
        <v>497120.87999999989</v>
      </c>
      <c r="F13" s="19">
        <f t="shared" si="13"/>
        <v>497579</v>
      </c>
      <c r="G13" s="19">
        <f t="shared" si="13"/>
        <v>504044.07999999996</v>
      </c>
      <c r="H13" s="19">
        <f t="shared" si="13"/>
        <v>513430</v>
      </c>
      <c r="I13" s="19">
        <f t="shared" si="13"/>
        <v>9498</v>
      </c>
      <c r="J13" s="19">
        <f t="shared" si="13"/>
        <v>700</v>
      </c>
      <c r="K13" s="19">
        <f t="shared" si="13"/>
        <v>50000</v>
      </c>
      <c r="L13" s="19">
        <f t="shared" si="13"/>
        <v>15079</v>
      </c>
      <c r="M13" s="19">
        <f>H13+SUM(I13:L13)</f>
        <v>588707</v>
      </c>
      <c r="N13" s="19">
        <f>N3+N6+N9</f>
        <v>141733.46</v>
      </c>
      <c r="O13" s="20">
        <f t="shared" si="1"/>
        <v>0.24075382151053068</v>
      </c>
      <c r="P13" s="19">
        <f>P3+P6+P9</f>
        <v>308480.13</v>
      </c>
      <c r="Q13" s="20">
        <f t="shared" si="2"/>
        <v>0.52399602858467798</v>
      </c>
      <c r="R13" s="19">
        <f>R3+R6+R9</f>
        <v>432541.75000000006</v>
      </c>
      <c r="S13" s="20">
        <f t="shared" si="3"/>
        <v>0.73473179357473251</v>
      </c>
      <c r="T13" s="19">
        <f>T3+T6+T9</f>
        <v>568539.49000000011</v>
      </c>
      <c r="U13" s="20">
        <f t="shared" si="4"/>
        <v>0.96574270392572215</v>
      </c>
      <c r="V13" s="19">
        <f>V3+V6+V9</f>
        <v>522208</v>
      </c>
      <c r="W13" s="19">
        <f>W3+W6+W9</f>
        <v>522208</v>
      </c>
    </row>
    <row r="14" spans="1:23" x14ac:dyDescent="0.25">
      <c r="A14" s="9"/>
      <c r="B14" s="18">
        <v>41</v>
      </c>
      <c r="C14" s="18" t="s">
        <v>23</v>
      </c>
      <c r="D14" s="19">
        <f t="shared" ref="D14:L14" si="14">D4+D7+D10</f>
        <v>835225.34</v>
      </c>
      <c r="E14" s="19">
        <f t="shared" si="14"/>
        <v>820035.91999999993</v>
      </c>
      <c r="F14" s="19">
        <f t="shared" si="14"/>
        <v>885496</v>
      </c>
      <c r="G14" s="19">
        <f t="shared" si="14"/>
        <v>912818.15999999992</v>
      </c>
      <c r="H14" s="19">
        <f t="shared" si="14"/>
        <v>1137898</v>
      </c>
      <c r="I14" s="19">
        <f t="shared" si="14"/>
        <v>8199</v>
      </c>
      <c r="J14" s="19">
        <f t="shared" si="14"/>
        <v>2729</v>
      </c>
      <c r="K14" s="19">
        <f t="shared" si="14"/>
        <v>9620</v>
      </c>
      <c r="L14" s="19">
        <f t="shared" si="14"/>
        <v>3716.7299999999996</v>
      </c>
      <c r="M14" s="19">
        <f>H14+SUM(I14:L14)</f>
        <v>1162162.73</v>
      </c>
      <c r="N14" s="19">
        <f>N4+N7+N10</f>
        <v>490465.39999999997</v>
      </c>
      <c r="O14" s="20">
        <f t="shared" si="1"/>
        <v>0.42202816123693793</v>
      </c>
      <c r="P14" s="19">
        <f>P4+P7+P10</f>
        <v>717089.26</v>
      </c>
      <c r="Q14" s="20">
        <f t="shared" si="2"/>
        <v>0.61702999200464814</v>
      </c>
      <c r="R14" s="19">
        <f>R4+R7+R10</f>
        <v>969474.11999999988</v>
      </c>
      <c r="S14" s="20">
        <f t="shared" si="3"/>
        <v>0.83419825380220192</v>
      </c>
      <c r="T14" s="19">
        <f>T4+T7+T10</f>
        <v>1228667.6000000001</v>
      </c>
      <c r="U14" s="20">
        <f t="shared" si="4"/>
        <v>1.057225092737228</v>
      </c>
      <c r="V14" s="19">
        <f>V4+V7+V10</f>
        <v>954999</v>
      </c>
      <c r="W14" s="19">
        <f>W4+W7+W10</f>
        <v>954999</v>
      </c>
    </row>
    <row r="15" spans="1:23" x14ac:dyDescent="0.25">
      <c r="A15" s="9"/>
      <c r="B15" s="18">
        <v>52</v>
      </c>
      <c r="C15" s="18" t="s">
        <v>26</v>
      </c>
      <c r="D15" s="19">
        <f t="shared" ref="D15:L15" si="15">D11</f>
        <v>34488.01</v>
      </c>
      <c r="E15" s="19">
        <f t="shared" si="15"/>
        <v>0</v>
      </c>
      <c r="F15" s="19">
        <f t="shared" si="15"/>
        <v>0</v>
      </c>
      <c r="G15" s="19">
        <f t="shared" si="15"/>
        <v>0</v>
      </c>
      <c r="H15" s="19">
        <f t="shared" si="15"/>
        <v>0</v>
      </c>
      <c r="I15" s="19">
        <f t="shared" si="15"/>
        <v>0</v>
      </c>
      <c r="J15" s="19">
        <f t="shared" si="15"/>
        <v>0</v>
      </c>
      <c r="K15" s="19">
        <f t="shared" si="15"/>
        <v>0</v>
      </c>
      <c r="L15" s="19">
        <f t="shared" si="15"/>
        <v>0</v>
      </c>
      <c r="M15" s="19">
        <f>H15+SUM(I15:L15)</f>
        <v>0</v>
      </c>
      <c r="N15" s="19">
        <f>N11</f>
        <v>0</v>
      </c>
      <c r="O15" s="20" t="e">
        <f t="shared" si="1"/>
        <v>#DIV/0!</v>
      </c>
      <c r="P15" s="19">
        <f>P11</f>
        <v>0</v>
      </c>
      <c r="Q15" s="20" t="e">
        <f t="shared" si="2"/>
        <v>#DIV/0!</v>
      </c>
      <c r="R15" s="19">
        <f>R11</f>
        <v>0</v>
      </c>
      <c r="S15" s="20" t="e">
        <f t="shared" si="3"/>
        <v>#DIV/0!</v>
      </c>
      <c r="T15" s="19">
        <f>T11</f>
        <v>0</v>
      </c>
      <c r="U15" s="20" t="e">
        <f t="shared" si="4"/>
        <v>#DIV/0!</v>
      </c>
      <c r="V15" s="19">
        <f>V11</f>
        <v>0</v>
      </c>
      <c r="W15" s="19">
        <f>W11</f>
        <v>0</v>
      </c>
    </row>
    <row r="16" spans="1:23" x14ac:dyDescent="0.25">
      <c r="A16" s="24"/>
      <c r="B16" s="25"/>
      <c r="C16" s="21" t="s">
        <v>28</v>
      </c>
      <c r="D16" s="22">
        <f t="shared" ref="D16:N16" si="16">SUM(D13:D15)</f>
        <v>1337373</v>
      </c>
      <c r="E16" s="22">
        <f t="shared" si="16"/>
        <v>1317156.7999999998</v>
      </c>
      <c r="F16" s="22">
        <f t="shared" si="16"/>
        <v>1383075</v>
      </c>
      <c r="G16" s="22">
        <f t="shared" si="16"/>
        <v>1416862.2399999998</v>
      </c>
      <c r="H16" s="22">
        <f t="shared" si="16"/>
        <v>1651328</v>
      </c>
      <c r="I16" s="22">
        <f t="shared" si="16"/>
        <v>17697</v>
      </c>
      <c r="J16" s="22">
        <f t="shared" si="16"/>
        <v>3429</v>
      </c>
      <c r="K16" s="22">
        <f t="shared" si="16"/>
        <v>59620</v>
      </c>
      <c r="L16" s="22">
        <f t="shared" si="16"/>
        <v>18795.73</v>
      </c>
      <c r="M16" s="22">
        <f t="shared" si="16"/>
        <v>1750869.73</v>
      </c>
      <c r="N16" s="22">
        <f t="shared" si="16"/>
        <v>632198.86</v>
      </c>
      <c r="O16" s="23">
        <f t="shared" si="1"/>
        <v>0.36107704026615389</v>
      </c>
      <c r="P16" s="22">
        <f>SUM(P13:P15)</f>
        <v>1025569.39</v>
      </c>
      <c r="Q16" s="23">
        <f t="shared" si="2"/>
        <v>0.58574854109791485</v>
      </c>
      <c r="R16" s="22">
        <f>SUM(R13:R15)</f>
        <v>1402015.8699999999</v>
      </c>
      <c r="S16" s="23">
        <f t="shared" si="3"/>
        <v>0.80075396014756617</v>
      </c>
      <c r="T16" s="22">
        <f>SUM(T13:T15)</f>
        <v>1797207.0900000003</v>
      </c>
      <c r="U16" s="23">
        <f t="shared" si="4"/>
        <v>1.0264653384578191</v>
      </c>
      <c r="V16" s="22">
        <f>SUM(V13:V15)</f>
        <v>1477207</v>
      </c>
      <c r="W16" s="22">
        <f>SUM(W13:W15)</f>
        <v>1477207</v>
      </c>
    </row>
    <row r="18" spans="1:23" x14ac:dyDescent="0.25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7"/>
      <c r="P18" s="26"/>
      <c r="Q18" s="27"/>
      <c r="R18" s="26"/>
      <c r="S18" s="27"/>
      <c r="T18" s="26"/>
      <c r="U18" s="27"/>
      <c r="V18" s="26"/>
      <c r="W18" s="26"/>
    </row>
    <row r="19" spans="1:23" x14ac:dyDescent="0.25">
      <c r="A19" s="15"/>
      <c r="B19" s="15"/>
      <c r="C19" s="15"/>
      <c r="D19" s="16" t="s">
        <v>1</v>
      </c>
      <c r="E19" s="16" t="s">
        <v>2</v>
      </c>
      <c r="F19" s="16" t="s">
        <v>3</v>
      </c>
      <c r="G19" s="16" t="s">
        <v>4</v>
      </c>
      <c r="H19" s="16" t="s">
        <v>5</v>
      </c>
      <c r="I19" s="16" t="s">
        <v>6</v>
      </c>
      <c r="J19" s="16" t="s">
        <v>7</v>
      </c>
      <c r="K19" s="16" t="s">
        <v>8</v>
      </c>
      <c r="L19" s="16" t="s">
        <v>9</v>
      </c>
      <c r="M19" s="16" t="s">
        <v>10</v>
      </c>
      <c r="N19" s="16" t="s">
        <v>11</v>
      </c>
      <c r="O19" s="17" t="s">
        <v>12</v>
      </c>
      <c r="P19" s="16" t="s">
        <v>13</v>
      </c>
      <c r="Q19" s="17" t="s">
        <v>14</v>
      </c>
      <c r="R19" s="16" t="s">
        <v>15</v>
      </c>
      <c r="S19" s="17" t="s">
        <v>16</v>
      </c>
      <c r="T19" s="16" t="s">
        <v>17</v>
      </c>
      <c r="U19" s="17" t="s">
        <v>18</v>
      </c>
      <c r="V19" s="16" t="s">
        <v>19</v>
      </c>
      <c r="W19" s="16" t="s">
        <v>20</v>
      </c>
    </row>
    <row r="20" spans="1:23" x14ac:dyDescent="0.25">
      <c r="A20" s="28" t="s">
        <v>30</v>
      </c>
      <c r="B20" s="29">
        <v>41</v>
      </c>
      <c r="C20" s="29" t="s">
        <v>23</v>
      </c>
      <c r="D20" s="30">
        <f t="shared" ref="D20:L20" si="17">D34</f>
        <v>695274.46</v>
      </c>
      <c r="E20" s="30">
        <f t="shared" si="17"/>
        <v>727434.99999999988</v>
      </c>
      <c r="F20" s="30">
        <f t="shared" si="17"/>
        <v>787898</v>
      </c>
      <c r="G20" s="30">
        <f t="shared" si="17"/>
        <v>807107.67999999993</v>
      </c>
      <c r="H20" s="30">
        <f t="shared" si="17"/>
        <v>867552</v>
      </c>
      <c r="I20" s="30">
        <f t="shared" si="17"/>
        <v>0</v>
      </c>
      <c r="J20" s="30">
        <f t="shared" si="17"/>
        <v>250</v>
      </c>
      <c r="K20" s="30">
        <f t="shared" si="17"/>
        <v>3730</v>
      </c>
      <c r="L20" s="30">
        <f t="shared" si="17"/>
        <v>2000</v>
      </c>
      <c r="M20" s="30">
        <f>H20+SUM(I20:L20)</f>
        <v>873532</v>
      </c>
      <c r="N20" s="30">
        <f>N34</f>
        <v>254844.28</v>
      </c>
      <c r="O20" s="31">
        <f>N20/$M20</f>
        <v>0.29174006218432752</v>
      </c>
      <c r="P20" s="30">
        <f>P34</f>
        <v>461461.73999999993</v>
      </c>
      <c r="Q20" s="31">
        <f>P20/$M20</f>
        <v>0.52827113374209522</v>
      </c>
      <c r="R20" s="30">
        <f>R34</f>
        <v>695411.16999999993</v>
      </c>
      <c r="S20" s="31">
        <f>R20/$M20</f>
        <v>0.79609123649734637</v>
      </c>
      <c r="T20" s="30">
        <f>T34</f>
        <v>917795.05999999994</v>
      </c>
      <c r="U20" s="31">
        <f>T20/$M20</f>
        <v>1.0506713663609346</v>
      </c>
      <c r="V20" s="30">
        <f>V34</f>
        <v>867552</v>
      </c>
      <c r="W20" s="30">
        <f>W34</f>
        <v>867552</v>
      </c>
    </row>
    <row r="21" spans="1:23" x14ac:dyDescent="0.25">
      <c r="A21" s="24"/>
      <c r="B21" s="25"/>
      <c r="C21" s="32" t="s">
        <v>31</v>
      </c>
      <c r="D21" s="33">
        <f t="shared" ref="D21:N21" si="18">SUM(D20:D20)</f>
        <v>695274.46</v>
      </c>
      <c r="E21" s="33">
        <f t="shared" si="18"/>
        <v>727434.99999999988</v>
      </c>
      <c r="F21" s="33">
        <f t="shared" si="18"/>
        <v>787898</v>
      </c>
      <c r="G21" s="33">
        <f t="shared" si="18"/>
        <v>807107.67999999993</v>
      </c>
      <c r="H21" s="33">
        <f t="shared" si="18"/>
        <v>867552</v>
      </c>
      <c r="I21" s="33">
        <f t="shared" si="18"/>
        <v>0</v>
      </c>
      <c r="J21" s="33">
        <f t="shared" si="18"/>
        <v>250</v>
      </c>
      <c r="K21" s="33">
        <f t="shared" si="18"/>
        <v>3730</v>
      </c>
      <c r="L21" s="33">
        <f t="shared" si="18"/>
        <v>2000</v>
      </c>
      <c r="M21" s="33">
        <f t="shared" si="18"/>
        <v>873532</v>
      </c>
      <c r="N21" s="33">
        <f t="shared" si="18"/>
        <v>254844.28</v>
      </c>
      <c r="O21" s="34">
        <f>N21/$M21</f>
        <v>0.29174006218432752</v>
      </c>
      <c r="P21" s="33">
        <f>SUM(P20:P20)</f>
        <v>461461.73999999993</v>
      </c>
      <c r="Q21" s="34">
        <f>P21/$M21</f>
        <v>0.52827113374209522</v>
      </c>
      <c r="R21" s="33">
        <f>SUM(R20:R20)</f>
        <v>695411.16999999993</v>
      </c>
      <c r="S21" s="34">
        <f>R21/$M21</f>
        <v>0.79609123649734637</v>
      </c>
      <c r="T21" s="33">
        <f>SUM(T20:T20)</f>
        <v>917795.05999999994</v>
      </c>
      <c r="U21" s="34">
        <f>T21/$M21</f>
        <v>1.0506713663609346</v>
      </c>
      <c r="V21" s="33">
        <f>SUM(V20:V20)</f>
        <v>867552</v>
      </c>
      <c r="W21" s="33">
        <f>SUM(W20:W20)</f>
        <v>867552</v>
      </c>
    </row>
    <row r="23" spans="1:23" x14ac:dyDescent="0.25">
      <c r="A23" s="35" t="s">
        <v>32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5"/>
      <c r="Q23" s="36"/>
      <c r="R23" s="35"/>
      <c r="S23" s="36"/>
      <c r="T23" s="35"/>
      <c r="U23" s="36"/>
      <c r="V23" s="35"/>
      <c r="W23" s="35"/>
    </row>
    <row r="24" spans="1:23" x14ac:dyDescent="0.25">
      <c r="A24" s="16" t="s">
        <v>33</v>
      </c>
      <c r="B24" s="16" t="s">
        <v>34</v>
      </c>
      <c r="C24" s="16" t="s">
        <v>35</v>
      </c>
      <c r="D24" s="16" t="s">
        <v>1</v>
      </c>
      <c r="E24" s="16" t="s">
        <v>2</v>
      </c>
      <c r="F24" s="16" t="s">
        <v>3</v>
      </c>
      <c r="G24" s="16" t="s">
        <v>4</v>
      </c>
      <c r="H24" s="16" t="s">
        <v>5</v>
      </c>
      <c r="I24" s="16" t="s">
        <v>6</v>
      </c>
      <c r="J24" s="16" t="s">
        <v>7</v>
      </c>
      <c r="K24" s="16" t="s">
        <v>8</v>
      </c>
      <c r="L24" s="16" t="s">
        <v>9</v>
      </c>
      <c r="M24" s="16" t="s">
        <v>10</v>
      </c>
      <c r="N24" s="16" t="s">
        <v>11</v>
      </c>
      <c r="O24" s="17" t="s">
        <v>12</v>
      </c>
      <c r="P24" s="16" t="s">
        <v>13</v>
      </c>
      <c r="Q24" s="17" t="s">
        <v>14</v>
      </c>
      <c r="R24" s="16" t="s">
        <v>15</v>
      </c>
      <c r="S24" s="17" t="s">
        <v>16</v>
      </c>
      <c r="T24" s="16" t="s">
        <v>17</v>
      </c>
      <c r="U24" s="17" t="s">
        <v>18</v>
      </c>
      <c r="V24" s="16" t="s">
        <v>19</v>
      </c>
      <c r="W24" s="16" t="s">
        <v>20</v>
      </c>
    </row>
    <row r="25" spans="1:23" x14ac:dyDescent="0.25">
      <c r="A25" s="8" t="s">
        <v>36</v>
      </c>
      <c r="B25" s="18">
        <v>111003</v>
      </c>
      <c r="C25" s="18" t="s">
        <v>37</v>
      </c>
      <c r="D25" s="19">
        <v>646648.12</v>
      </c>
      <c r="E25" s="19">
        <v>665548.61</v>
      </c>
      <c r="F25" s="19">
        <v>718698</v>
      </c>
      <c r="G25" s="19">
        <v>723616.41</v>
      </c>
      <c r="H25" s="19">
        <v>783927</v>
      </c>
      <c r="I25" s="19"/>
      <c r="J25" s="19"/>
      <c r="K25" s="19"/>
      <c r="L25" s="19">
        <v>2000</v>
      </c>
      <c r="M25" s="19">
        <f t="shared" ref="M25:M33" si="19">H25+SUM(I25:L25)</f>
        <v>785927</v>
      </c>
      <c r="N25" s="19">
        <v>238294.1</v>
      </c>
      <c r="O25" s="20">
        <f t="shared" ref="O25:O34" si="20">N25/$M25</f>
        <v>0.3032013151348662</v>
      </c>
      <c r="P25" s="19">
        <v>414676.1</v>
      </c>
      <c r="Q25" s="20">
        <f t="shared" ref="Q25:Q34" si="21">P25/$M25</f>
        <v>0.52762673887014944</v>
      </c>
      <c r="R25" s="19">
        <v>625123.1</v>
      </c>
      <c r="S25" s="20">
        <f t="shared" ref="S25:S34" si="22">R25/$M25</f>
        <v>0.79539588282372276</v>
      </c>
      <c r="T25" s="19">
        <v>832585.1</v>
      </c>
      <c r="U25" s="20">
        <f t="shared" ref="U25:U34" si="23">T25/$M25</f>
        <v>1.0593669641073535</v>
      </c>
      <c r="V25" s="19">
        <f>H25</f>
        <v>783927</v>
      </c>
      <c r="W25" s="19">
        <f>V25</f>
        <v>783927</v>
      </c>
    </row>
    <row r="26" spans="1:23" x14ac:dyDescent="0.25">
      <c r="A26" s="8"/>
      <c r="B26" s="18">
        <v>121001</v>
      </c>
      <c r="C26" s="18" t="s">
        <v>38</v>
      </c>
      <c r="D26" s="19">
        <v>15820.85</v>
      </c>
      <c r="E26" s="19">
        <v>19434.099999999999</v>
      </c>
      <c r="F26" s="19">
        <v>19000</v>
      </c>
      <c r="G26" s="19">
        <v>16830.32</v>
      </c>
      <c r="H26" s="19">
        <v>16800</v>
      </c>
      <c r="I26" s="19"/>
      <c r="J26" s="19"/>
      <c r="K26" s="19">
        <v>2000</v>
      </c>
      <c r="L26" s="19"/>
      <c r="M26" s="19">
        <f t="shared" si="19"/>
        <v>18800</v>
      </c>
      <c r="N26" s="19">
        <v>4774.6099999999997</v>
      </c>
      <c r="O26" s="20">
        <f t="shared" si="20"/>
        <v>0.2539686170212766</v>
      </c>
      <c r="P26" s="19">
        <v>10020.07</v>
      </c>
      <c r="Q26" s="20">
        <f t="shared" si="21"/>
        <v>0.53298244680851059</v>
      </c>
      <c r="R26" s="19">
        <v>16159.83</v>
      </c>
      <c r="S26" s="20">
        <f t="shared" si="22"/>
        <v>0.85956542553191484</v>
      </c>
      <c r="T26" s="19">
        <v>18996.12</v>
      </c>
      <c r="U26" s="20">
        <f t="shared" si="23"/>
        <v>1.0104319148936169</v>
      </c>
      <c r="V26" s="19">
        <f>H26</f>
        <v>16800</v>
      </c>
      <c r="W26" s="19">
        <f>V26</f>
        <v>16800</v>
      </c>
    </row>
    <row r="27" spans="1:23" x14ac:dyDescent="0.25">
      <c r="A27" s="8"/>
      <c r="B27" s="18">
        <v>121002</v>
      </c>
      <c r="C27" s="18" t="s">
        <v>39</v>
      </c>
      <c r="D27" s="19">
        <v>14131.51</v>
      </c>
      <c r="E27" s="19">
        <v>17418.939999999999</v>
      </c>
      <c r="F27" s="19">
        <v>17100</v>
      </c>
      <c r="G27" s="19">
        <v>19766.12</v>
      </c>
      <c r="H27" s="19">
        <v>19800</v>
      </c>
      <c r="I27" s="19"/>
      <c r="J27" s="19"/>
      <c r="K27" s="19">
        <v>1700</v>
      </c>
      <c r="L27" s="19"/>
      <c r="M27" s="19">
        <f t="shared" si="19"/>
        <v>21500</v>
      </c>
      <c r="N27" s="19">
        <v>3800.36</v>
      </c>
      <c r="O27" s="20">
        <f t="shared" si="20"/>
        <v>0.17676093023255815</v>
      </c>
      <c r="P27" s="19">
        <v>10784</v>
      </c>
      <c r="Q27" s="20">
        <f t="shared" si="21"/>
        <v>0.50158139534883717</v>
      </c>
      <c r="R27" s="19">
        <v>15703.77</v>
      </c>
      <c r="S27" s="20">
        <f t="shared" si="22"/>
        <v>0.73040790697674418</v>
      </c>
      <c r="T27" s="19">
        <v>20327.07</v>
      </c>
      <c r="U27" s="20">
        <f t="shared" si="23"/>
        <v>0.9454451162790698</v>
      </c>
      <c r="V27" s="19">
        <f>H27</f>
        <v>19800</v>
      </c>
      <c r="W27" s="19">
        <f>V27</f>
        <v>19800</v>
      </c>
    </row>
    <row r="28" spans="1:23" x14ac:dyDescent="0.25">
      <c r="A28" s="8"/>
      <c r="B28" s="18">
        <v>121003</v>
      </c>
      <c r="C28" s="18" t="s">
        <v>40</v>
      </c>
      <c r="D28" s="19">
        <v>99.65</v>
      </c>
      <c r="E28" s="19">
        <v>108.83</v>
      </c>
      <c r="F28" s="19">
        <v>100</v>
      </c>
      <c r="G28" s="19">
        <v>124.83</v>
      </c>
      <c r="H28" s="19">
        <v>125</v>
      </c>
      <c r="I28" s="19"/>
      <c r="J28" s="19"/>
      <c r="K28" s="19"/>
      <c r="L28" s="19"/>
      <c r="M28" s="19">
        <f t="shared" si="19"/>
        <v>125</v>
      </c>
      <c r="N28" s="19">
        <v>0</v>
      </c>
      <c r="O28" s="20">
        <f t="shared" si="20"/>
        <v>0</v>
      </c>
      <c r="P28" s="19">
        <v>0</v>
      </c>
      <c r="Q28" s="20">
        <f t="shared" si="21"/>
        <v>0</v>
      </c>
      <c r="R28" s="19">
        <v>0</v>
      </c>
      <c r="S28" s="20">
        <f t="shared" si="22"/>
        <v>0</v>
      </c>
      <c r="T28" s="19">
        <v>0</v>
      </c>
      <c r="U28" s="20">
        <f t="shared" si="23"/>
        <v>0</v>
      </c>
      <c r="V28" s="19">
        <f>H28</f>
        <v>125</v>
      </c>
      <c r="W28" s="19">
        <f>V28</f>
        <v>125</v>
      </c>
    </row>
    <row r="29" spans="1:23" x14ac:dyDescent="0.25">
      <c r="A29" s="8"/>
      <c r="B29" s="18">
        <v>133001</v>
      </c>
      <c r="C29" s="18" t="s">
        <v>41</v>
      </c>
      <c r="D29" s="19">
        <v>1894.51</v>
      </c>
      <c r="E29" s="19">
        <v>2088.92</v>
      </c>
      <c r="F29" s="19">
        <v>2000</v>
      </c>
      <c r="G29" s="19">
        <v>2264</v>
      </c>
      <c r="H29" s="19">
        <v>2300</v>
      </c>
      <c r="I29" s="19"/>
      <c r="J29" s="19"/>
      <c r="K29" s="19"/>
      <c r="L29" s="19"/>
      <c r="M29" s="19">
        <f t="shared" si="19"/>
        <v>2300</v>
      </c>
      <c r="N29" s="19">
        <v>326.89</v>
      </c>
      <c r="O29" s="20">
        <f t="shared" si="20"/>
        <v>0.14212608695652174</v>
      </c>
      <c r="P29" s="19">
        <v>1156.43</v>
      </c>
      <c r="Q29" s="20">
        <f t="shared" si="21"/>
        <v>0.50279565217391309</v>
      </c>
      <c r="R29" s="19">
        <v>1858.43</v>
      </c>
      <c r="S29" s="20">
        <f t="shared" si="22"/>
        <v>0.80801304347826086</v>
      </c>
      <c r="T29" s="19">
        <v>2221.35</v>
      </c>
      <c r="U29" s="20">
        <f t="shared" si="23"/>
        <v>0.96580434782608693</v>
      </c>
      <c r="V29" s="19">
        <f>H29</f>
        <v>2300</v>
      </c>
      <c r="W29" s="19">
        <f>V29</f>
        <v>2300</v>
      </c>
    </row>
    <row r="30" spans="1:23" x14ac:dyDescent="0.25">
      <c r="A30" s="8"/>
      <c r="B30" s="18">
        <v>133003</v>
      </c>
      <c r="C30" s="18" t="s">
        <v>42</v>
      </c>
      <c r="D30" s="19"/>
      <c r="E30" s="19"/>
      <c r="F30" s="19"/>
      <c r="G30" s="19"/>
      <c r="H30" s="19">
        <v>0</v>
      </c>
      <c r="I30" s="19"/>
      <c r="J30" s="19"/>
      <c r="K30" s="19">
        <v>30</v>
      </c>
      <c r="L30" s="19"/>
      <c r="M30" s="19">
        <f t="shared" si="19"/>
        <v>30</v>
      </c>
      <c r="N30" s="19">
        <v>0</v>
      </c>
      <c r="O30" s="20">
        <f t="shared" si="20"/>
        <v>0</v>
      </c>
      <c r="P30" s="19">
        <v>0</v>
      </c>
      <c r="Q30" s="20">
        <f t="shared" si="21"/>
        <v>0</v>
      </c>
      <c r="R30" s="19">
        <v>30</v>
      </c>
      <c r="S30" s="20">
        <f t="shared" si="22"/>
        <v>1</v>
      </c>
      <c r="T30" s="19">
        <v>30</v>
      </c>
      <c r="U30" s="20">
        <f t="shared" si="23"/>
        <v>1</v>
      </c>
      <c r="V30" s="19"/>
      <c r="W30" s="19"/>
    </row>
    <row r="31" spans="1:23" x14ac:dyDescent="0.25">
      <c r="A31" s="8"/>
      <c r="B31" s="18">
        <v>133006</v>
      </c>
      <c r="C31" s="18" t="s">
        <v>43</v>
      </c>
      <c r="D31" s="19"/>
      <c r="E31" s="19"/>
      <c r="F31" s="19"/>
      <c r="G31" s="19"/>
      <c r="H31" s="19">
        <v>0</v>
      </c>
      <c r="I31" s="19"/>
      <c r="J31" s="19">
        <v>250</v>
      </c>
      <c r="K31" s="19"/>
      <c r="L31" s="19"/>
      <c r="M31" s="19">
        <f t="shared" si="19"/>
        <v>250</v>
      </c>
      <c r="N31" s="19">
        <v>0</v>
      </c>
      <c r="O31" s="20">
        <f t="shared" si="20"/>
        <v>0</v>
      </c>
      <c r="P31" s="19">
        <v>129</v>
      </c>
      <c r="Q31" s="20">
        <f t="shared" si="21"/>
        <v>0.51600000000000001</v>
      </c>
      <c r="R31" s="19">
        <v>165</v>
      </c>
      <c r="S31" s="20">
        <f t="shared" si="22"/>
        <v>0.66</v>
      </c>
      <c r="T31" s="19">
        <v>219</v>
      </c>
      <c r="U31" s="20">
        <f t="shared" si="23"/>
        <v>0.876</v>
      </c>
      <c r="V31" s="19"/>
      <c r="W31" s="19"/>
    </row>
    <row r="32" spans="1:23" x14ac:dyDescent="0.25">
      <c r="A32" s="8"/>
      <c r="B32" s="18">
        <v>133012</v>
      </c>
      <c r="C32" s="18" t="s">
        <v>44</v>
      </c>
      <c r="D32" s="19">
        <v>1326</v>
      </c>
      <c r="E32" s="19">
        <v>1029</v>
      </c>
      <c r="F32" s="19">
        <v>1000</v>
      </c>
      <c r="G32" s="19">
        <v>2145</v>
      </c>
      <c r="H32" s="19">
        <v>2200</v>
      </c>
      <c r="I32" s="19"/>
      <c r="J32" s="19"/>
      <c r="K32" s="19"/>
      <c r="L32" s="19"/>
      <c r="M32" s="19">
        <f t="shared" si="19"/>
        <v>2200</v>
      </c>
      <c r="N32" s="19">
        <v>604</v>
      </c>
      <c r="O32" s="20">
        <f t="shared" si="20"/>
        <v>0.27454545454545454</v>
      </c>
      <c r="P32" s="19">
        <v>1618.35</v>
      </c>
      <c r="Q32" s="20">
        <f t="shared" si="21"/>
        <v>0.7356136363636363</v>
      </c>
      <c r="R32" s="19">
        <v>1846.35</v>
      </c>
      <c r="S32" s="20">
        <f t="shared" si="22"/>
        <v>0.83924999999999994</v>
      </c>
      <c r="T32" s="19">
        <v>2108.79</v>
      </c>
      <c r="U32" s="20">
        <f t="shared" si="23"/>
        <v>0.95854090909090905</v>
      </c>
      <c r="V32" s="19">
        <f>H32</f>
        <v>2200</v>
      </c>
      <c r="W32" s="19">
        <f>V32</f>
        <v>2200</v>
      </c>
    </row>
    <row r="33" spans="1:23" x14ac:dyDescent="0.25">
      <c r="A33" s="8"/>
      <c r="B33" s="18">
        <v>133013</v>
      </c>
      <c r="C33" s="18" t="s">
        <v>45</v>
      </c>
      <c r="D33" s="19">
        <v>15353.82</v>
      </c>
      <c r="E33" s="19">
        <v>21806.6</v>
      </c>
      <c r="F33" s="19">
        <v>30000</v>
      </c>
      <c r="G33" s="19">
        <v>42361</v>
      </c>
      <c r="H33" s="19">
        <v>42400</v>
      </c>
      <c r="I33" s="19"/>
      <c r="J33" s="19"/>
      <c r="K33" s="19"/>
      <c r="L33" s="19"/>
      <c r="M33" s="19">
        <f t="shared" si="19"/>
        <v>42400</v>
      </c>
      <c r="N33" s="19">
        <v>7044.32</v>
      </c>
      <c r="O33" s="20">
        <f t="shared" si="20"/>
        <v>0.16613962264150942</v>
      </c>
      <c r="P33" s="19">
        <v>23077.79</v>
      </c>
      <c r="Q33" s="20">
        <f t="shared" si="21"/>
        <v>0.54428750000000004</v>
      </c>
      <c r="R33" s="19">
        <v>34524.69</v>
      </c>
      <c r="S33" s="20">
        <f t="shared" si="22"/>
        <v>0.81426155660377364</v>
      </c>
      <c r="T33" s="19">
        <v>41307.629999999997</v>
      </c>
      <c r="U33" s="20">
        <f t="shared" si="23"/>
        <v>0.97423655660377351</v>
      </c>
      <c r="V33" s="19">
        <f>H33</f>
        <v>42400</v>
      </c>
      <c r="W33" s="19">
        <f>V33</f>
        <v>42400</v>
      </c>
    </row>
    <row r="34" spans="1:23" s="39" customFormat="1" x14ac:dyDescent="0.25">
      <c r="A34" s="38"/>
      <c r="B34" s="21">
        <v>41</v>
      </c>
      <c r="C34" s="21" t="s">
        <v>23</v>
      </c>
      <c r="D34" s="22">
        <f t="shared" ref="D34:N34" si="24">SUM(D25:D33)</f>
        <v>695274.46</v>
      </c>
      <c r="E34" s="22">
        <f t="shared" si="24"/>
        <v>727434.99999999988</v>
      </c>
      <c r="F34" s="22">
        <f t="shared" si="24"/>
        <v>787898</v>
      </c>
      <c r="G34" s="22">
        <f t="shared" si="24"/>
        <v>807107.67999999993</v>
      </c>
      <c r="H34" s="22">
        <f t="shared" si="24"/>
        <v>867552</v>
      </c>
      <c r="I34" s="22">
        <f t="shared" si="24"/>
        <v>0</v>
      </c>
      <c r="J34" s="22">
        <f t="shared" si="24"/>
        <v>250</v>
      </c>
      <c r="K34" s="22">
        <f t="shared" si="24"/>
        <v>3730</v>
      </c>
      <c r="L34" s="22">
        <f t="shared" si="24"/>
        <v>2000</v>
      </c>
      <c r="M34" s="22">
        <f t="shared" si="24"/>
        <v>873532</v>
      </c>
      <c r="N34" s="22">
        <f t="shared" si="24"/>
        <v>254844.28</v>
      </c>
      <c r="O34" s="23">
        <f t="shared" si="20"/>
        <v>0.29174006218432752</v>
      </c>
      <c r="P34" s="22">
        <f>SUM(P25:P33)</f>
        <v>461461.73999999993</v>
      </c>
      <c r="Q34" s="23">
        <f t="shared" si="21"/>
        <v>0.52827113374209522</v>
      </c>
      <c r="R34" s="22">
        <f>SUM(R25:R33)</f>
        <v>695411.16999999993</v>
      </c>
      <c r="S34" s="23">
        <f t="shared" si="22"/>
        <v>0.79609123649734637</v>
      </c>
      <c r="T34" s="22">
        <f>SUM(T25:T33)</f>
        <v>917795.05999999994</v>
      </c>
      <c r="U34" s="23">
        <f t="shared" si="23"/>
        <v>1.0506713663609346</v>
      </c>
      <c r="V34" s="22">
        <f>SUM(V25:V33)</f>
        <v>867552</v>
      </c>
      <c r="W34" s="22">
        <f>SUM(W25:W33)</f>
        <v>867552</v>
      </c>
    </row>
    <row r="36" spans="1:23" x14ac:dyDescent="0.25">
      <c r="A36" s="26" t="s">
        <v>46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  <c r="P36" s="26"/>
      <c r="Q36" s="27"/>
      <c r="R36" s="26"/>
      <c r="S36" s="27"/>
      <c r="T36" s="26"/>
      <c r="U36" s="27"/>
      <c r="V36" s="26"/>
      <c r="W36" s="26"/>
    </row>
    <row r="37" spans="1:23" x14ac:dyDescent="0.25">
      <c r="A37" s="15"/>
      <c r="B37" s="15"/>
      <c r="C37" s="15"/>
      <c r="D37" s="16" t="s">
        <v>1</v>
      </c>
      <c r="E37" s="16" t="s">
        <v>2</v>
      </c>
      <c r="F37" s="16" t="s">
        <v>3</v>
      </c>
      <c r="G37" s="16" t="s">
        <v>4</v>
      </c>
      <c r="H37" s="16" t="s">
        <v>5</v>
      </c>
      <c r="I37" s="16" t="s">
        <v>6</v>
      </c>
      <c r="J37" s="16" t="s">
        <v>7</v>
      </c>
      <c r="K37" s="16" t="s">
        <v>8</v>
      </c>
      <c r="L37" s="16" t="s">
        <v>9</v>
      </c>
      <c r="M37" s="16" t="s">
        <v>10</v>
      </c>
      <c r="N37" s="16" t="s">
        <v>11</v>
      </c>
      <c r="O37" s="17" t="s">
        <v>12</v>
      </c>
      <c r="P37" s="16" t="s">
        <v>13</v>
      </c>
      <c r="Q37" s="17" t="s">
        <v>14</v>
      </c>
      <c r="R37" s="16" t="s">
        <v>15</v>
      </c>
      <c r="S37" s="17" t="s">
        <v>16</v>
      </c>
      <c r="T37" s="16" t="s">
        <v>17</v>
      </c>
      <c r="U37" s="17" t="s">
        <v>18</v>
      </c>
      <c r="V37" s="16" t="s">
        <v>19</v>
      </c>
      <c r="W37" s="16" t="s">
        <v>20</v>
      </c>
    </row>
    <row r="38" spans="1:23" x14ac:dyDescent="0.25">
      <c r="A38" s="28"/>
      <c r="B38" s="29">
        <v>41</v>
      </c>
      <c r="C38" s="29" t="s">
        <v>23</v>
      </c>
      <c r="D38" s="30">
        <f t="shared" ref="D38:N38" si="25">D49</f>
        <v>137638.67000000001</v>
      </c>
      <c r="E38" s="30">
        <f t="shared" si="25"/>
        <v>89213.609999999971</v>
      </c>
      <c r="F38" s="30">
        <f t="shared" si="25"/>
        <v>84691</v>
      </c>
      <c r="G38" s="30">
        <f t="shared" si="25"/>
        <v>93536.969999999987</v>
      </c>
      <c r="H38" s="30">
        <f t="shared" si="25"/>
        <v>87447</v>
      </c>
      <c r="I38" s="30">
        <f t="shared" si="25"/>
        <v>8199</v>
      </c>
      <c r="J38" s="30">
        <f t="shared" si="25"/>
        <v>2479</v>
      </c>
      <c r="K38" s="30">
        <f t="shared" si="25"/>
        <v>5890</v>
      </c>
      <c r="L38" s="30">
        <f t="shared" si="25"/>
        <v>-127.27000000000044</v>
      </c>
      <c r="M38" s="30">
        <f t="shared" si="25"/>
        <v>103887.73</v>
      </c>
      <c r="N38" s="30">
        <f t="shared" si="25"/>
        <v>29030.499999999996</v>
      </c>
      <c r="O38" s="31">
        <f>N38/$M38</f>
        <v>0.27944108510215787</v>
      </c>
      <c r="P38" s="30">
        <f>P49</f>
        <v>49036.900000000009</v>
      </c>
      <c r="Q38" s="31">
        <f>P38/$M38</f>
        <v>0.47201820657742749</v>
      </c>
      <c r="R38" s="30">
        <f>R49</f>
        <v>67472.33</v>
      </c>
      <c r="S38" s="31">
        <f>R38/$M38</f>
        <v>0.64947352300411232</v>
      </c>
      <c r="T38" s="30">
        <f>T49</f>
        <v>104281.92000000001</v>
      </c>
      <c r="U38" s="31">
        <f>T38/$M38</f>
        <v>1.0037943845726538</v>
      </c>
      <c r="V38" s="30">
        <f>V49</f>
        <v>87447</v>
      </c>
      <c r="W38" s="30">
        <f>W49</f>
        <v>87447</v>
      </c>
    </row>
    <row r="39" spans="1:23" x14ac:dyDescent="0.25">
      <c r="A39" s="24"/>
      <c r="B39" s="25"/>
      <c r="C39" s="32" t="s">
        <v>31</v>
      </c>
      <c r="D39" s="33">
        <f t="shared" ref="D39:N39" si="26">SUM(D38:D38)</f>
        <v>137638.67000000001</v>
      </c>
      <c r="E39" s="33">
        <f t="shared" si="26"/>
        <v>89213.609999999971</v>
      </c>
      <c r="F39" s="33">
        <f t="shared" si="26"/>
        <v>84691</v>
      </c>
      <c r="G39" s="33">
        <f t="shared" si="26"/>
        <v>93536.969999999987</v>
      </c>
      <c r="H39" s="33">
        <f t="shared" si="26"/>
        <v>87447</v>
      </c>
      <c r="I39" s="33">
        <f t="shared" si="26"/>
        <v>8199</v>
      </c>
      <c r="J39" s="33">
        <f t="shared" si="26"/>
        <v>2479</v>
      </c>
      <c r="K39" s="33">
        <f t="shared" si="26"/>
        <v>5890</v>
      </c>
      <c r="L39" s="33">
        <f t="shared" si="26"/>
        <v>-127.27000000000044</v>
      </c>
      <c r="M39" s="33">
        <f t="shared" si="26"/>
        <v>103887.73</v>
      </c>
      <c r="N39" s="33">
        <f t="shared" si="26"/>
        <v>29030.499999999996</v>
      </c>
      <c r="O39" s="34">
        <f>N39/$M39</f>
        <v>0.27944108510215787</v>
      </c>
      <c r="P39" s="33">
        <f>SUM(P38:P38)</f>
        <v>49036.900000000009</v>
      </c>
      <c r="Q39" s="34">
        <f>P39/$M39</f>
        <v>0.47201820657742749</v>
      </c>
      <c r="R39" s="33">
        <f>SUM(R38:R38)</f>
        <v>67472.33</v>
      </c>
      <c r="S39" s="34">
        <f>R39/$M39</f>
        <v>0.64947352300411232</v>
      </c>
      <c r="T39" s="33">
        <f>SUM(T38:T38)</f>
        <v>104281.92000000001</v>
      </c>
      <c r="U39" s="34">
        <f>T39/$M39</f>
        <v>1.0037943845726538</v>
      </c>
      <c r="V39" s="33">
        <f>SUM(V38:V38)</f>
        <v>87447</v>
      </c>
      <c r="W39" s="33">
        <f>SUM(W38:W38)</f>
        <v>87447</v>
      </c>
    </row>
    <row r="41" spans="1:23" x14ac:dyDescent="0.25">
      <c r="A41" s="35" t="s">
        <v>47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5"/>
      <c r="Q41" s="36"/>
      <c r="R41" s="35"/>
      <c r="S41" s="36"/>
      <c r="T41" s="35"/>
      <c r="U41" s="36"/>
      <c r="V41" s="35"/>
      <c r="W41" s="35"/>
    </row>
    <row r="42" spans="1:23" x14ac:dyDescent="0.25">
      <c r="A42" s="16" t="s">
        <v>33</v>
      </c>
      <c r="B42" s="16" t="s">
        <v>34</v>
      </c>
      <c r="C42" s="16" t="s">
        <v>35</v>
      </c>
      <c r="D42" s="16" t="s">
        <v>1</v>
      </c>
      <c r="E42" s="16" t="s">
        <v>2</v>
      </c>
      <c r="F42" s="16" t="s">
        <v>3</v>
      </c>
      <c r="G42" s="16" t="s">
        <v>4</v>
      </c>
      <c r="H42" s="16" t="s">
        <v>5</v>
      </c>
      <c r="I42" s="16" t="s">
        <v>6</v>
      </c>
      <c r="J42" s="16" t="s">
        <v>7</v>
      </c>
      <c r="K42" s="16" t="s">
        <v>8</v>
      </c>
      <c r="L42" s="16" t="s">
        <v>9</v>
      </c>
      <c r="M42" s="16" t="s">
        <v>10</v>
      </c>
      <c r="N42" s="16" t="s">
        <v>11</v>
      </c>
      <c r="O42" s="17" t="s">
        <v>12</v>
      </c>
      <c r="P42" s="16" t="s">
        <v>13</v>
      </c>
      <c r="Q42" s="17" t="s">
        <v>14</v>
      </c>
      <c r="R42" s="16" t="s">
        <v>15</v>
      </c>
      <c r="S42" s="17" t="s">
        <v>16</v>
      </c>
      <c r="T42" s="16" t="s">
        <v>17</v>
      </c>
      <c r="U42" s="17" t="s">
        <v>18</v>
      </c>
      <c r="V42" s="16" t="s">
        <v>19</v>
      </c>
      <c r="W42" s="16" t="s">
        <v>20</v>
      </c>
    </row>
    <row r="43" spans="1:23" x14ac:dyDescent="0.25">
      <c r="A43" s="7" t="s">
        <v>48</v>
      </c>
      <c r="B43" s="18">
        <v>210</v>
      </c>
      <c r="C43" s="18" t="s">
        <v>49</v>
      </c>
      <c r="D43" s="19">
        <v>11228.48</v>
      </c>
      <c r="E43" s="19">
        <v>10954.51</v>
      </c>
      <c r="F43" s="19">
        <v>7800</v>
      </c>
      <c r="G43" s="19">
        <v>9992.0499999999993</v>
      </c>
      <c r="H43" s="19">
        <v>1860</v>
      </c>
      <c r="I43" s="19">
        <v>2000</v>
      </c>
      <c r="J43" s="19">
        <v>210</v>
      </c>
      <c r="K43" s="19">
        <v>2000</v>
      </c>
      <c r="L43" s="19">
        <v>900</v>
      </c>
      <c r="M43" s="19">
        <f t="shared" ref="M43:M48" si="27">H43+SUM(I43:L43)</f>
        <v>6970</v>
      </c>
      <c r="N43" s="19">
        <v>1550.3</v>
      </c>
      <c r="O43" s="20">
        <f t="shared" ref="O43:O49" si="28">N43/$M43</f>
        <v>0.22242467718794834</v>
      </c>
      <c r="P43" s="19">
        <v>3981.74</v>
      </c>
      <c r="Q43" s="20">
        <f t="shared" ref="Q43:Q49" si="29">P43/$M43</f>
        <v>0.57126829268292678</v>
      </c>
      <c r="R43" s="19">
        <v>5052.54</v>
      </c>
      <c r="S43" s="20">
        <f t="shared" ref="S43:S49" si="30">R43/$M43</f>
        <v>0.72489813486370158</v>
      </c>
      <c r="T43" s="19">
        <v>6940.41</v>
      </c>
      <c r="U43" s="20">
        <f t="shared" ref="U43:U49" si="31">T43/$M43</f>
        <v>0.99575466284074599</v>
      </c>
      <c r="V43" s="19">
        <f>H43</f>
        <v>1860</v>
      </c>
      <c r="W43" s="19">
        <f>V43</f>
        <v>1860</v>
      </c>
    </row>
    <row r="44" spans="1:23" x14ac:dyDescent="0.25">
      <c r="A44" s="7"/>
      <c r="B44" s="18">
        <v>220</v>
      </c>
      <c r="C44" s="18" t="s">
        <v>50</v>
      </c>
      <c r="D44" s="19">
        <v>112634.27</v>
      </c>
      <c r="E44" s="19">
        <v>68764.509999999995</v>
      </c>
      <c r="F44" s="19">
        <v>57552</v>
      </c>
      <c r="G44" s="19">
        <v>63741.24</v>
      </c>
      <c r="H44" s="19">
        <v>63890</v>
      </c>
      <c r="I44" s="19">
        <v>2660</v>
      </c>
      <c r="J44" s="19"/>
      <c r="K44" s="19">
        <v>2990</v>
      </c>
      <c r="L44" s="19">
        <f>2470+2060</f>
        <v>4530</v>
      </c>
      <c r="M44" s="19">
        <f t="shared" si="27"/>
        <v>74070</v>
      </c>
      <c r="N44" s="19">
        <v>16905.87</v>
      </c>
      <c r="O44" s="20">
        <f t="shared" si="28"/>
        <v>0.22824179829890642</v>
      </c>
      <c r="P44" s="19">
        <v>31870.74</v>
      </c>
      <c r="Q44" s="20">
        <f t="shared" si="29"/>
        <v>0.43027865532604298</v>
      </c>
      <c r="R44" s="19">
        <v>46522.69</v>
      </c>
      <c r="S44" s="20">
        <f t="shared" si="30"/>
        <v>0.62809085999729986</v>
      </c>
      <c r="T44" s="19">
        <v>65784.009999999995</v>
      </c>
      <c r="U44" s="20">
        <f t="shared" si="31"/>
        <v>0.88813298231402715</v>
      </c>
      <c r="V44" s="19">
        <f>H44</f>
        <v>63890</v>
      </c>
      <c r="W44" s="19">
        <f>V44</f>
        <v>63890</v>
      </c>
    </row>
    <row r="45" spans="1:23" x14ac:dyDescent="0.25">
      <c r="A45" s="7"/>
      <c r="B45" s="18">
        <v>230</v>
      </c>
      <c r="C45" s="18" t="s">
        <v>51</v>
      </c>
      <c r="D45" s="19">
        <v>0</v>
      </c>
      <c r="E45" s="19">
        <v>1072.5</v>
      </c>
      <c r="F45" s="19">
        <v>0</v>
      </c>
      <c r="G45" s="19">
        <v>280</v>
      </c>
      <c r="H45" s="19">
        <v>0</v>
      </c>
      <c r="I45" s="19"/>
      <c r="J45" s="19"/>
      <c r="K45" s="19"/>
      <c r="L45" s="19"/>
      <c r="M45" s="19">
        <f t="shared" si="27"/>
        <v>0</v>
      </c>
      <c r="N45" s="19">
        <v>0</v>
      </c>
      <c r="O45" s="20" t="e">
        <f t="shared" si="28"/>
        <v>#DIV/0!</v>
      </c>
      <c r="P45" s="19">
        <v>0</v>
      </c>
      <c r="Q45" s="20" t="e">
        <f t="shared" si="29"/>
        <v>#DIV/0!</v>
      </c>
      <c r="R45" s="19">
        <v>0</v>
      </c>
      <c r="S45" s="20" t="e">
        <f t="shared" si="30"/>
        <v>#DIV/0!</v>
      </c>
      <c r="T45" s="19">
        <v>0</v>
      </c>
      <c r="U45" s="20" t="e">
        <f t="shared" si="31"/>
        <v>#DIV/0!</v>
      </c>
      <c r="V45" s="19">
        <v>0</v>
      </c>
      <c r="W45" s="19">
        <v>0</v>
      </c>
    </row>
    <row r="46" spans="1:23" x14ac:dyDescent="0.25">
      <c r="A46" s="7"/>
      <c r="B46" s="18">
        <v>240</v>
      </c>
      <c r="C46" s="18" t="s">
        <v>52</v>
      </c>
      <c r="D46" s="19">
        <v>64.27</v>
      </c>
      <c r="E46" s="19">
        <v>37.93</v>
      </c>
      <c r="F46" s="19">
        <v>40</v>
      </c>
      <c r="G46" s="19">
        <v>20.59</v>
      </c>
      <c r="H46" s="19">
        <v>20</v>
      </c>
      <c r="I46" s="19">
        <v>400</v>
      </c>
      <c r="J46" s="19"/>
      <c r="K46" s="19">
        <v>180</v>
      </c>
      <c r="L46" s="19"/>
      <c r="M46" s="19">
        <f t="shared" si="27"/>
        <v>600</v>
      </c>
      <c r="N46" s="19">
        <v>102.34</v>
      </c>
      <c r="O46" s="20">
        <f t="shared" si="28"/>
        <v>0.17056666666666667</v>
      </c>
      <c r="P46" s="19">
        <v>309.79000000000002</v>
      </c>
      <c r="Q46" s="20">
        <f t="shared" si="29"/>
        <v>0.51631666666666665</v>
      </c>
      <c r="R46" s="19">
        <v>532.49</v>
      </c>
      <c r="S46" s="20">
        <f t="shared" si="30"/>
        <v>0.8874833333333334</v>
      </c>
      <c r="T46" s="19">
        <v>701.63</v>
      </c>
      <c r="U46" s="20">
        <f t="shared" si="31"/>
        <v>1.1693833333333332</v>
      </c>
      <c r="V46" s="19">
        <f>H46</f>
        <v>20</v>
      </c>
      <c r="W46" s="19">
        <f>V46</f>
        <v>20</v>
      </c>
    </row>
    <row r="47" spans="1:23" x14ac:dyDescent="0.25">
      <c r="A47" s="7"/>
      <c r="B47" s="18">
        <v>290</v>
      </c>
      <c r="C47" s="18" t="s">
        <v>53</v>
      </c>
      <c r="D47" s="19">
        <v>1455.95</v>
      </c>
      <c r="E47" s="19">
        <v>490.01</v>
      </c>
      <c r="F47" s="19">
        <v>10860</v>
      </c>
      <c r="G47" s="19">
        <v>11064.09</v>
      </c>
      <c r="H47" s="19">
        <v>8950</v>
      </c>
      <c r="I47" s="19">
        <v>3139</v>
      </c>
      <c r="J47" s="19">
        <f>2000+269</f>
        <v>2269</v>
      </c>
      <c r="K47" s="19">
        <v>720</v>
      </c>
      <c r="L47" s="19">
        <v>2600</v>
      </c>
      <c r="M47" s="19">
        <f t="shared" si="27"/>
        <v>17678</v>
      </c>
      <c r="N47" s="19">
        <v>7366.15</v>
      </c>
      <c r="O47" s="20">
        <f t="shared" si="28"/>
        <v>0.41668457970358636</v>
      </c>
      <c r="P47" s="19">
        <v>9073.02</v>
      </c>
      <c r="Q47" s="20">
        <f t="shared" si="29"/>
        <v>0.51323792284195047</v>
      </c>
      <c r="R47" s="19">
        <v>10869.5</v>
      </c>
      <c r="S47" s="20">
        <f t="shared" si="30"/>
        <v>0.61486027831202628</v>
      </c>
      <c r="T47" s="19">
        <v>19155.16</v>
      </c>
      <c r="U47" s="20">
        <f t="shared" si="31"/>
        <v>1.083559226156805</v>
      </c>
      <c r="V47" s="19">
        <f>H47</f>
        <v>8950</v>
      </c>
      <c r="W47" s="19">
        <f>V47</f>
        <v>8950</v>
      </c>
    </row>
    <row r="48" spans="1:23" x14ac:dyDescent="0.25">
      <c r="A48" s="7"/>
      <c r="B48" s="18" t="s">
        <v>54</v>
      </c>
      <c r="C48" s="18" t="s">
        <v>55</v>
      </c>
      <c r="D48" s="19">
        <v>12255.7</v>
      </c>
      <c r="E48" s="19">
        <v>7894.15</v>
      </c>
      <c r="F48" s="19">
        <v>8439</v>
      </c>
      <c r="G48" s="19">
        <f>F48</f>
        <v>8439</v>
      </c>
      <c r="H48" s="19">
        <v>12727</v>
      </c>
      <c r="I48" s="19"/>
      <c r="J48" s="19"/>
      <c r="K48" s="19"/>
      <c r="L48" s="19">
        <v>-8157.27</v>
      </c>
      <c r="M48" s="19">
        <f t="shared" si="27"/>
        <v>4569.7299999999996</v>
      </c>
      <c r="N48" s="19">
        <v>3105.84</v>
      </c>
      <c r="O48" s="20">
        <f t="shared" si="28"/>
        <v>0.67965503432369101</v>
      </c>
      <c r="P48" s="19">
        <v>3801.61</v>
      </c>
      <c r="Q48" s="20">
        <f t="shared" si="29"/>
        <v>0.83191129454037782</v>
      </c>
      <c r="R48" s="19">
        <v>4495.1099999999997</v>
      </c>
      <c r="S48" s="20">
        <f t="shared" si="30"/>
        <v>0.98367080768448034</v>
      </c>
      <c r="T48" s="19">
        <v>11700.71</v>
      </c>
      <c r="U48" s="20">
        <f t="shared" si="31"/>
        <v>2.5604816914784903</v>
      </c>
      <c r="V48" s="19">
        <f>H48</f>
        <v>12727</v>
      </c>
      <c r="W48" s="19">
        <f>V48</f>
        <v>12727</v>
      </c>
    </row>
    <row r="49" spans="1:23" x14ac:dyDescent="0.25">
      <c r="A49" s="24"/>
      <c r="B49" s="41">
        <v>41</v>
      </c>
      <c r="C49" s="41" t="s">
        <v>56</v>
      </c>
      <c r="D49" s="42">
        <f t="shared" ref="D49:N49" si="32">SUM(D43:D48)</f>
        <v>137638.67000000001</v>
      </c>
      <c r="E49" s="42">
        <f t="shared" si="32"/>
        <v>89213.609999999971</v>
      </c>
      <c r="F49" s="42">
        <f t="shared" si="32"/>
        <v>84691</v>
      </c>
      <c r="G49" s="42">
        <f t="shared" si="32"/>
        <v>93536.969999999987</v>
      </c>
      <c r="H49" s="42">
        <f t="shared" si="32"/>
        <v>87447</v>
      </c>
      <c r="I49" s="42">
        <f t="shared" si="32"/>
        <v>8199</v>
      </c>
      <c r="J49" s="42">
        <f t="shared" si="32"/>
        <v>2479</v>
      </c>
      <c r="K49" s="42">
        <f t="shared" si="32"/>
        <v>5890</v>
      </c>
      <c r="L49" s="42">
        <f t="shared" si="32"/>
        <v>-127.27000000000044</v>
      </c>
      <c r="M49" s="42">
        <f t="shared" si="32"/>
        <v>103887.73</v>
      </c>
      <c r="N49" s="42">
        <f t="shared" si="32"/>
        <v>29030.499999999996</v>
      </c>
      <c r="O49" s="43">
        <f t="shared" si="28"/>
        <v>0.27944108510215787</v>
      </c>
      <c r="P49" s="42">
        <f>SUM(P43:P48)</f>
        <v>49036.900000000009</v>
      </c>
      <c r="Q49" s="43">
        <f t="shared" si="29"/>
        <v>0.47201820657742749</v>
      </c>
      <c r="R49" s="42">
        <f>SUM(R43:R48)</f>
        <v>67472.33</v>
      </c>
      <c r="S49" s="43">
        <f t="shared" si="30"/>
        <v>0.64947352300411232</v>
      </c>
      <c r="T49" s="42">
        <f>SUM(T43:T48)</f>
        <v>104281.92000000001</v>
      </c>
      <c r="U49" s="43">
        <f t="shared" si="31"/>
        <v>1.0037943845726538</v>
      </c>
      <c r="V49" s="42">
        <f>SUM(V43:V48)</f>
        <v>87447</v>
      </c>
      <c r="W49" s="42">
        <f>SUM(W43:W48)</f>
        <v>87447</v>
      </c>
    </row>
    <row r="51" spans="1:23" x14ac:dyDescent="0.25">
      <c r="B51" s="44" t="s">
        <v>57</v>
      </c>
      <c r="C51" s="24" t="s">
        <v>58</v>
      </c>
      <c r="D51" s="45">
        <v>10657.33</v>
      </c>
      <c r="E51" s="45">
        <v>10600.88</v>
      </c>
      <c r="F51" s="45">
        <v>7200</v>
      </c>
      <c r="G51" s="45">
        <v>9629</v>
      </c>
      <c r="H51" s="45">
        <v>1500</v>
      </c>
      <c r="I51" s="45">
        <v>2000</v>
      </c>
      <c r="J51" s="45">
        <v>210</v>
      </c>
      <c r="K51" s="45">
        <v>2000</v>
      </c>
      <c r="L51" s="45">
        <v>900</v>
      </c>
      <c r="M51" s="45">
        <f t="shared" ref="M51:M64" si="33">H51+SUM(I51:L51)</f>
        <v>6610</v>
      </c>
      <c r="N51" s="45">
        <v>1337</v>
      </c>
      <c r="O51" s="46">
        <f t="shared" ref="O51:O64" si="34">N51/$M51</f>
        <v>0.20226928895612709</v>
      </c>
      <c r="P51" s="45">
        <v>3735.08</v>
      </c>
      <c r="Q51" s="46">
        <f t="shared" ref="Q51:Q64" si="35">P51/$M51</f>
        <v>0.56506505295007559</v>
      </c>
      <c r="R51" s="45">
        <v>4805.88</v>
      </c>
      <c r="S51" s="46">
        <f t="shared" ref="S51:S64" si="36">R51/$M51</f>
        <v>0.72706202723146751</v>
      </c>
      <c r="T51" s="45">
        <v>6576.64</v>
      </c>
      <c r="U51" s="47">
        <f t="shared" ref="U51:U64" si="37">T51/$M51</f>
        <v>0.99495310136157344</v>
      </c>
      <c r="V51" s="45">
        <f t="shared" ref="V51:V56" si="38">H51</f>
        <v>1500</v>
      </c>
      <c r="W51" s="48">
        <f t="shared" ref="W51:W56" si="39">V51</f>
        <v>1500</v>
      </c>
    </row>
    <row r="52" spans="1:23" x14ac:dyDescent="0.25">
      <c r="B52" s="49"/>
      <c r="C52" s="50" t="s">
        <v>59</v>
      </c>
      <c r="D52" s="51">
        <v>8162.6</v>
      </c>
      <c r="E52" s="51">
        <v>8219.5</v>
      </c>
      <c r="F52" s="51">
        <v>8200</v>
      </c>
      <c r="G52" s="51">
        <v>7544.18</v>
      </c>
      <c r="H52" s="51">
        <v>7500</v>
      </c>
      <c r="I52" s="51"/>
      <c r="J52" s="51"/>
      <c r="K52" s="51">
        <v>900</v>
      </c>
      <c r="L52" s="51">
        <v>400</v>
      </c>
      <c r="M52" s="51">
        <f t="shared" si="33"/>
        <v>8800</v>
      </c>
      <c r="N52" s="51">
        <f>811.5+1215</f>
        <v>2026.5</v>
      </c>
      <c r="O52" s="11">
        <f t="shared" si="34"/>
        <v>0.23028409090909091</v>
      </c>
      <c r="P52" s="51">
        <f>1812+2350</f>
        <v>4162</v>
      </c>
      <c r="Q52" s="11">
        <f t="shared" si="35"/>
        <v>0.47295454545454546</v>
      </c>
      <c r="R52" s="51">
        <v>6167.8</v>
      </c>
      <c r="S52" s="11">
        <f t="shared" si="36"/>
        <v>0.7008863636363637</v>
      </c>
      <c r="T52" s="51">
        <v>8783.2999999999993</v>
      </c>
      <c r="U52" s="52">
        <f t="shared" si="37"/>
        <v>0.9981022727272727</v>
      </c>
      <c r="V52" s="51">
        <f t="shared" si="38"/>
        <v>7500</v>
      </c>
      <c r="W52" s="53">
        <f t="shared" si="39"/>
        <v>7500</v>
      </c>
    </row>
    <row r="53" spans="1:23" x14ac:dyDescent="0.25">
      <c r="B53" s="49"/>
      <c r="C53" s="50" t="s">
        <v>60</v>
      </c>
      <c r="D53" s="51">
        <v>3300</v>
      </c>
      <c r="E53" s="51">
        <v>2400</v>
      </c>
      <c r="F53" s="51">
        <v>2400</v>
      </c>
      <c r="G53" s="51">
        <v>3200</v>
      </c>
      <c r="H53" s="51">
        <v>3200</v>
      </c>
      <c r="I53" s="51"/>
      <c r="J53" s="51"/>
      <c r="K53" s="51"/>
      <c r="L53" s="51"/>
      <c r="M53" s="51">
        <f t="shared" si="33"/>
        <v>3200</v>
      </c>
      <c r="N53" s="51">
        <v>0</v>
      </c>
      <c r="O53" s="11">
        <f t="shared" si="34"/>
        <v>0</v>
      </c>
      <c r="P53" s="51">
        <v>1600</v>
      </c>
      <c r="Q53" s="11">
        <f t="shared" si="35"/>
        <v>0.5</v>
      </c>
      <c r="R53" s="51">
        <v>3200</v>
      </c>
      <c r="S53" s="11">
        <f t="shared" si="36"/>
        <v>1</v>
      </c>
      <c r="T53" s="51">
        <v>3200</v>
      </c>
      <c r="U53" s="52">
        <f t="shared" si="37"/>
        <v>1</v>
      </c>
      <c r="V53" s="51">
        <f t="shared" si="38"/>
        <v>3200</v>
      </c>
      <c r="W53" s="53">
        <f t="shared" si="39"/>
        <v>3200</v>
      </c>
    </row>
    <row r="54" spans="1:23" x14ac:dyDescent="0.25">
      <c r="B54" s="49"/>
      <c r="C54" s="50" t="s">
        <v>61</v>
      </c>
      <c r="D54" s="51">
        <v>14911.91</v>
      </c>
      <c r="E54" s="51">
        <v>15149.35</v>
      </c>
      <c r="F54" s="51">
        <v>15200</v>
      </c>
      <c r="G54" s="51">
        <v>20772.490000000002</v>
      </c>
      <c r="H54" s="51">
        <v>21000</v>
      </c>
      <c r="I54" s="51"/>
      <c r="J54" s="51"/>
      <c r="K54" s="51"/>
      <c r="L54" s="51"/>
      <c r="M54" s="51">
        <f t="shared" si="33"/>
        <v>21000</v>
      </c>
      <c r="N54" s="51">
        <v>7562.36</v>
      </c>
      <c r="O54" s="11">
        <f t="shared" si="34"/>
        <v>0.36011238095238096</v>
      </c>
      <c r="P54" s="51">
        <v>11476.02</v>
      </c>
      <c r="Q54" s="11">
        <f t="shared" si="35"/>
        <v>0.54647714285714288</v>
      </c>
      <c r="R54" s="51">
        <v>14385.29</v>
      </c>
      <c r="S54" s="11">
        <f t="shared" si="36"/>
        <v>0.68501380952380952</v>
      </c>
      <c r="T54" s="51">
        <v>17460.64</v>
      </c>
      <c r="U54" s="52">
        <f t="shared" si="37"/>
        <v>0.83145904761904754</v>
      </c>
      <c r="V54" s="51">
        <f t="shared" si="38"/>
        <v>21000</v>
      </c>
      <c r="W54" s="53">
        <f t="shared" si="39"/>
        <v>21000</v>
      </c>
    </row>
    <row r="55" spans="1:23" x14ac:dyDescent="0.25">
      <c r="B55" s="49"/>
      <c r="C55" s="50" t="s">
        <v>62</v>
      </c>
      <c r="D55" s="51">
        <v>3965.31</v>
      </c>
      <c r="E55" s="51">
        <v>3437.59</v>
      </c>
      <c r="F55" s="51">
        <v>900</v>
      </c>
      <c r="G55" s="51">
        <v>1358.39</v>
      </c>
      <c r="H55" s="51">
        <v>1360</v>
      </c>
      <c r="I55" s="51"/>
      <c r="J55" s="51"/>
      <c r="K55" s="51"/>
      <c r="L55" s="51"/>
      <c r="M55" s="51">
        <f t="shared" si="33"/>
        <v>1360</v>
      </c>
      <c r="N55" s="51">
        <v>88</v>
      </c>
      <c r="O55" s="11">
        <f t="shared" si="34"/>
        <v>6.4705882352941183E-2</v>
      </c>
      <c r="P55" s="51">
        <v>228.8</v>
      </c>
      <c r="Q55" s="11">
        <f t="shared" si="35"/>
        <v>0.16823529411764707</v>
      </c>
      <c r="R55" s="51">
        <v>369.6</v>
      </c>
      <c r="S55" s="11">
        <f t="shared" si="36"/>
        <v>0.27176470588235296</v>
      </c>
      <c r="T55" s="51">
        <v>503.8</v>
      </c>
      <c r="U55" s="52">
        <f t="shared" si="37"/>
        <v>0.37044117647058822</v>
      </c>
      <c r="V55" s="51">
        <f t="shared" si="38"/>
        <v>1360</v>
      </c>
      <c r="W55" s="53">
        <f t="shared" si="39"/>
        <v>1360</v>
      </c>
    </row>
    <row r="56" spans="1:23" x14ac:dyDescent="0.25">
      <c r="B56" s="49"/>
      <c r="C56" s="50" t="s">
        <v>63</v>
      </c>
      <c r="D56" s="51">
        <v>1130.77</v>
      </c>
      <c r="E56" s="51">
        <v>1607.13</v>
      </c>
      <c r="F56" s="51">
        <v>1000</v>
      </c>
      <c r="G56" s="51">
        <v>99.86</v>
      </c>
      <c r="H56" s="51">
        <v>100</v>
      </c>
      <c r="I56" s="51"/>
      <c r="J56" s="51"/>
      <c r="K56" s="51"/>
      <c r="L56" s="51"/>
      <c r="M56" s="51">
        <f t="shared" si="33"/>
        <v>100</v>
      </c>
      <c r="N56" s="51">
        <v>0</v>
      </c>
      <c r="O56" s="11">
        <f t="shared" si="34"/>
        <v>0</v>
      </c>
      <c r="P56" s="51">
        <v>0</v>
      </c>
      <c r="Q56" s="11">
        <f t="shared" si="35"/>
        <v>0</v>
      </c>
      <c r="R56" s="51">
        <v>40.33</v>
      </c>
      <c r="S56" s="11">
        <f t="shared" si="36"/>
        <v>0.40329999999999999</v>
      </c>
      <c r="T56" s="51">
        <v>40.33</v>
      </c>
      <c r="U56" s="52">
        <f t="shared" si="37"/>
        <v>0.40329999999999999</v>
      </c>
      <c r="V56" s="51">
        <f t="shared" si="38"/>
        <v>100</v>
      </c>
      <c r="W56" s="53">
        <f t="shared" si="39"/>
        <v>100</v>
      </c>
    </row>
    <row r="57" spans="1:23" x14ac:dyDescent="0.25">
      <c r="B57" s="49"/>
      <c r="C57" s="50" t="s">
        <v>64</v>
      </c>
      <c r="D57" s="54">
        <v>2298</v>
      </c>
      <c r="E57" s="54">
        <v>2162</v>
      </c>
      <c r="F57" s="51"/>
      <c r="G57" s="51"/>
      <c r="H57" s="51">
        <v>0</v>
      </c>
      <c r="I57" s="51"/>
      <c r="J57" s="51"/>
      <c r="K57" s="51"/>
      <c r="L57" s="51">
        <v>1300</v>
      </c>
      <c r="M57" s="51">
        <f t="shared" si="33"/>
        <v>1300</v>
      </c>
      <c r="N57" s="51">
        <v>0</v>
      </c>
      <c r="O57" s="11">
        <f t="shared" si="34"/>
        <v>0</v>
      </c>
      <c r="P57" s="51">
        <v>0</v>
      </c>
      <c r="Q57" s="11">
        <f t="shared" si="35"/>
        <v>0</v>
      </c>
      <c r="R57" s="51">
        <v>0</v>
      </c>
      <c r="S57" s="11">
        <f t="shared" si="36"/>
        <v>0</v>
      </c>
      <c r="T57" s="51">
        <v>1269</v>
      </c>
      <c r="U57" s="52">
        <f t="shared" si="37"/>
        <v>0.97615384615384615</v>
      </c>
      <c r="V57" s="51"/>
      <c r="W57" s="53"/>
    </row>
    <row r="58" spans="1:23" x14ac:dyDescent="0.25">
      <c r="B58" s="49"/>
      <c r="C58" s="50" t="s">
        <v>65</v>
      </c>
      <c r="D58" s="54">
        <v>17713.89</v>
      </c>
      <c r="E58" s="54">
        <v>18499.98</v>
      </c>
      <c r="F58" s="51">
        <v>18500</v>
      </c>
      <c r="G58" s="54">
        <v>19583.23</v>
      </c>
      <c r="H58" s="54">
        <v>19600</v>
      </c>
      <c r="I58" s="54"/>
      <c r="J58" s="54"/>
      <c r="K58" s="54"/>
      <c r="L58" s="54">
        <v>150</v>
      </c>
      <c r="M58" s="54">
        <f t="shared" si="33"/>
        <v>19750</v>
      </c>
      <c r="N58" s="54">
        <v>4288.8100000000004</v>
      </c>
      <c r="O58" s="55">
        <f t="shared" si="34"/>
        <v>0.21715493670886077</v>
      </c>
      <c r="P58" s="54">
        <v>9155.52</v>
      </c>
      <c r="Q58" s="55">
        <f t="shared" si="35"/>
        <v>0.46357063291139244</v>
      </c>
      <c r="R58" s="54">
        <v>14633.26</v>
      </c>
      <c r="S58" s="55">
        <f t="shared" si="36"/>
        <v>0.7409245569620253</v>
      </c>
      <c r="T58" s="54">
        <v>19749.61</v>
      </c>
      <c r="U58" s="56">
        <f t="shared" si="37"/>
        <v>0.99998025316455696</v>
      </c>
      <c r="V58" s="51">
        <f>H58</f>
        <v>19600</v>
      </c>
      <c r="W58" s="53">
        <f>V58</f>
        <v>19600</v>
      </c>
    </row>
    <row r="59" spans="1:23" x14ac:dyDescent="0.25">
      <c r="B59" s="49"/>
      <c r="C59" s="50" t="s">
        <v>66</v>
      </c>
      <c r="D59" s="54">
        <v>48508.04</v>
      </c>
      <c r="E59" s="54">
        <v>5342.44</v>
      </c>
      <c r="F59" s="51"/>
      <c r="G59" s="51">
        <v>2245.4499999999998</v>
      </c>
      <c r="H59" s="54">
        <v>2200</v>
      </c>
      <c r="I59" s="54"/>
      <c r="J59" s="54"/>
      <c r="K59" s="54"/>
      <c r="L59" s="54">
        <v>3060</v>
      </c>
      <c r="M59" s="54">
        <f t="shared" si="33"/>
        <v>5260</v>
      </c>
      <c r="N59" s="54">
        <v>0</v>
      </c>
      <c r="O59" s="55">
        <f t="shared" si="34"/>
        <v>0</v>
      </c>
      <c r="P59" s="54">
        <v>0</v>
      </c>
      <c r="Q59" s="55">
        <f t="shared" si="35"/>
        <v>0</v>
      </c>
      <c r="R59" s="54">
        <v>0</v>
      </c>
      <c r="S59" s="55">
        <f t="shared" si="36"/>
        <v>0</v>
      </c>
      <c r="T59" s="54">
        <v>5280</v>
      </c>
      <c r="U59" s="56">
        <f t="shared" si="37"/>
        <v>1.0038022813688212</v>
      </c>
      <c r="V59" s="51">
        <f>H59</f>
        <v>2200</v>
      </c>
      <c r="W59" s="53">
        <f>V59</f>
        <v>2200</v>
      </c>
    </row>
    <row r="60" spans="1:23" x14ac:dyDescent="0.25">
      <c r="B60" s="49"/>
      <c r="C60" s="50" t="s">
        <v>67</v>
      </c>
      <c r="D60" s="54">
        <v>3623</v>
      </c>
      <c r="E60" s="54">
        <v>3246</v>
      </c>
      <c r="F60" s="51">
        <v>3600</v>
      </c>
      <c r="G60" s="54">
        <v>2786</v>
      </c>
      <c r="H60" s="54">
        <v>2800</v>
      </c>
      <c r="I60" s="54"/>
      <c r="J60" s="54"/>
      <c r="K60" s="54">
        <v>1800</v>
      </c>
      <c r="L60" s="54"/>
      <c r="M60" s="54">
        <f t="shared" si="33"/>
        <v>4600</v>
      </c>
      <c r="N60" s="54">
        <v>959</v>
      </c>
      <c r="O60" s="55">
        <f t="shared" si="34"/>
        <v>0.20847826086956522</v>
      </c>
      <c r="P60" s="54">
        <v>1897</v>
      </c>
      <c r="Q60" s="55">
        <f t="shared" si="35"/>
        <v>0.41239130434782606</v>
      </c>
      <c r="R60" s="54">
        <v>3366</v>
      </c>
      <c r="S60" s="55">
        <f t="shared" si="36"/>
        <v>0.73173913043478256</v>
      </c>
      <c r="T60" s="54">
        <v>3339</v>
      </c>
      <c r="U60" s="56">
        <f t="shared" si="37"/>
        <v>0.72586956521739132</v>
      </c>
      <c r="V60" s="51">
        <f>H60</f>
        <v>2800</v>
      </c>
      <c r="W60" s="53">
        <f>V60</f>
        <v>2800</v>
      </c>
    </row>
    <row r="61" spans="1:23" x14ac:dyDescent="0.25">
      <c r="B61" s="49"/>
      <c r="C61" s="50" t="s">
        <v>68</v>
      </c>
      <c r="D61" s="54">
        <v>2127.5</v>
      </c>
      <c r="E61" s="54">
        <v>1289.2</v>
      </c>
      <c r="F61" s="51">
        <v>1300</v>
      </c>
      <c r="G61" s="54">
        <v>1624</v>
      </c>
      <c r="H61" s="54">
        <v>1600</v>
      </c>
      <c r="I61" s="54"/>
      <c r="J61" s="54"/>
      <c r="K61" s="54"/>
      <c r="L61" s="54">
        <v>-1000</v>
      </c>
      <c r="M61" s="54">
        <f t="shared" si="33"/>
        <v>600</v>
      </c>
      <c r="N61" s="54">
        <v>0</v>
      </c>
      <c r="O61" s="55">
        <f t="shared" si="34"/>
        <v>0</v>
      </c>
      <c r="P61" s="54">
        <v>236</v>
      </c>
      <c r="Q61" s="55">
        <f t="shared" si="35"/>
        <v>0.39333333333333331</v>
      </c>
      <c r="R61" s="54">
        <v>236</v>
      </c>
      <c r="S61" s="55">
        <f t="shared" si="36"/>
        <v>0.39333333333333331</v>
      </c>
      <c r="T61" s="54">
        <v>391</v>
      </c>
      <c r="U61" s="56">
        <f t="shared" si="37"/>
        <v>0.65166666666666662</v>
      </c>
      <c r="V61" s="51">
        <f>H61</f>
        <v>1600</v>
      </c>
      <c r="W61" s="53">
        <f>V61</f>
        <v>1600</v>
      </c>
    </row>
    <row r="62" spans="1:23" x14ac:dyDescent="0.25">
      <c r="B62" s="49"/>
      <c r="C62" s="50" t="s">
        <v>69</v>
      </c>
      <c r="D62" s="54">
        <v>1912</v>
      </c>
      <c r="E62" s="54">
        <v>2460</v>
      </c>
      <c r="F62" s="51">
        <v>2000</v>
      </c>
      <c r="G62" s="54">
        <v>600</v>
      </c>
      <c r="H62" s="54">
        <v>600</v>
      </c>
      <c r="I62" s="54"/>
      <c r="J62" s="54"/>
      <c r="K62" s="54"/>
      <c r="L62" s="54"/>
      <c r="M62" s="54">
        <f t="shared" si="33"/>
        <v>600</v>
      </c>
      <c r="N62" s="54">
        <v>0</v>
      </c>
      <c r="O62" s="55">
        <f t="shared" si="34"/>
        <v>0</v>
      </c>
      <c r="P62" s="54">
        <v>0</v>
      </c>
      <c r="Q62" s="55">
        <f t="shared" si="35"/>
        <v>0</v>
      </c>
      <c r="R62" s="54">
        <v>0</v>
      </c>
      <c r="S62" s="55">
        <f t="shared" si="36"/>
        <v>0</v>
      </c>
      <c r="T62" s="54">
        <v>0</v>
      </c>
      <c r="U62" s="56">
        <f t="shared" si="37"/>
        <v>0</v>
      </c>
      <c r="V62" s="51">
        <f>H62</f>
        <v>600</v>
      </c>
      <c r="W62" s="53">
        <f>V62</f>
        <v>600</v>
      </c>
    </row>
    <row r="63" spans="1:23" x14ac:dyDescent="0.25">
      <c r="B63" s="49"/>
      <c r="C63" s="50" t="s">
        <v>70</v>
      </c>
      <c r="D63" s="54"/>
      <c r="E63" s="54"/>
      <c r="F63" s="51">
        <v>1685</v>
      </c>
      <c r="G63" s="51">
        <v>1997.99</v>
      </c>
      <c r="H63" s="51">
        <v>0</v>
      </c>
      <c r="I63" s="51">
        <v>2794</v>
      </c>
      <c r="J63" s="51">
        <f>2000+269</f>
        <v>2269</v>
      </c>
      <c r="K63" s="51">
        <v>590</v>
      </c>
      <c r="L63" s="51"/>
      <c r="M63" s="51">
        <f t="shared" si="33"/>
        <v>5653</v>
      </c>
      <c r="N63" s="51">
        <v>5198.8100000000004</v>
      </c>
      <c r="O63" s="11">
        <f t="shared" si="34"/>
        <v>0.9196550504157085</v>
      </c>
      <c r="P63" s="51">
        <v>5652.52</v>
      </c>
      <c r="Q63" s="11">
        <f t="shared" si="35"/>
        <v>0.99991508933309758</v>
      </c>
      <c r="R63" s="51">
        <v>5652.52</v>
      </c>
      <c r="S63" s="11">
        <f t="shared" si="36"/>
        <v>0.99991508933309758</v>
      </c>
      <c r="T63" s="51">
        <v>5768.62</v>
      </c>
      <c r="U63" s="52">
        <f t="shared" si="37"/>
        <v>1.0204528568901468</v>
      </c>
      <c r="V63" s="51"/>
      <c r="W63" s="53"/>
    </row>
    <row r="64" spans="1:23" x14ac:dyDescent="0.25">
      <c r="B64" s="57"/>
      <c r="C64" s="58" t="s">
        <v>71</v>
      </c>
      <c r="D64" s="59"/>
      <c r="E64" s="59"/>
      <c r="F64" s="59">
        <v>9115</v>
      </c>
      <c r="G64" s="59">
        <v>8820.15</v>
      </c>
      <c r="H64" s="59">
        <v>8800</v>
      </c>
      <c r="I64" s="59"/>
      <c r="J64" s="59"/>
      <c r="K64" s="59"/>
      <c r="L64" s="59">
        <v>600</v>
      </c>
      <c r="M64" s="59">
        <f t="shared" si="33"/>
        <v>9400</v>
      </c>
      <c r="N64" s="59">
        <v>1333.84</v>
      </c>
      <c r="O64" s="60">
        <f t="shared" si="34"/>
        <v>0.14189787234042553</v>
      </c>
      <c r="P64" s="59">
        <v>3105.84</v>
      </c>
      <c r="Q64" s="60">
        <f t="shared" si="35"/>
        <v>0.3304085106382979</v>
      </c>
      <c r="R64" s="59">
        <v>4725.84</v>
      </c>
      <c r="S64" s="60">
        <f t="shared" si="36"/>
        <v>0.50274893617021277</v>
      </c>
      <c r="T64" s="59">
        <v>9251.82</v>
      </c>
      <c r="U64" s="61">
        <f t="shared" si="37"/>
        <v>0.98423617021276588</v>
      </c>
      <c r="V64" s="59">
        <f>H64</f>
        <v>8800</v>
      </c>
      <c r="W64" s="62">
        <f>V64</f>
        <v>8800</v>
      </c>
    </row>
    <row r="66" spans="1:23" x14ac:dyDescent="0.25">
      <c r="A66" s="26" t="s">
        <v>72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6"/>
      <c r="Q66" s="27"/>
      <c r="R66" s="26"/>
      <c r="S66" s="27"/>
      <c r="T66" s="26"/>
      <c r="U66" s="27"/>
      <c r="V66" s="26"/>
      <c r="W66" s="26"/>
    </row>
    <row r="67" spans="1:23" x14ac:dyDescent="0.25">
      <c r="A67" s="15"/>
      <c r="B67" s="15"/>
      <c r="C67" s="15"/>
      <c r="D67" s="16" t="s">
        <v>1</v>
      </c>
      <c r="E67" s="16" t="s">
        <v>2</v>
      </c>
      <c r="F67" s="16" t="s">
        <v>3</v>
      </c>
      <c r="G67" s="16" t="s">
        <v>4</v>
      </c>
      <c r="H67" s="16" t="s">
        <v>5</v>
      </c>
      <c r="I67" s="16" t="s">
        <v>6</v>
      </c>
      <c r="J67" s="16" t="s">
        <v>7</v>
      </c>
      <c r="K67" s="16" t="s">
        <v>8</v>
      </c>
      <c r="L67" s="16" t="s">
        <v>9</v>
      </c>
      <c r="M67" s="16" t="s">
        <v>10</v>
      </c>
      <c r="N67" s="16" t="s">
        <v>11</v>
      </c>
      <c r="O67" s="17" t="s">
        <v>12</v>
      </c>
      <c r="P67" s="16" t="s">
        <v>13</v>
      </c>
      <c r="Q67" s="17" t="s">
        <v>14</v>
      </c>
      <c r="R67" s="16" t="s">
        <v>15</v>
      </c>
      <c r="S67" s="17" t="s">
        <v>16</v>
      </c>
      <c r="T67" s="16" t="s">
        <v>17</v>
      </c>
      <c r="U67" s="17" t="s">
        <v>18</v>
      </c>
      <c r="V67" s="16" t="s">
        <v>19</v>
      </c>
      <c r="W67" s="16" t="s">
        <v>20</v>
      </c>
    </row>
    <row r="68" spans="1:23" x14ac:dyDescent="0.25">
      <c r="A68" s="28" t="s">
        <v>21</v>
      </c>
      <c r="B68" s="29">
        <v>111</v>
      </c>
      <c r="C68" s="29" t="s">
        <v>22</v>
      </c>
      <c r="D68" s="30">
        <f t="shared" ref="D68:N68" si="40">D96</f>
        <v>467659.65</v>
      </c>
      <c r="E68" s="30">
        <f t="shared" si="40"/>
        <v>474738.5199999999</v>
      </c>
      <c r="F68" s="30">
        <f t="shared" si="40"/>
        <v>480248</v>
      </c>
      <c r="G68" s="30">
        <f t="shared" si="40"/>
        <v>486713.67</v>
      </c>
      <c r="H68" s="63">
        <f t="shared" si="40"/>
        <v>513430</v>
      </c>
      <c r="I68" s="63">
        <f t="shared" si="40"/>
        <v>9498</v>
      </c>
      <c r="J68" s="63">
        <f t="shared" si="40"/>
        <v>700</v>
      </c>
      <c r="K68" s="63">
        <f t="shared" si="40"/>
        <v>50000</v>
      </c>
      <c r="L68" s="63">
        <f t="shared" si="40"/>
        <v>15079</v>
      </c>
      <c r="M68" s="63">
        <f t="shared" si="40"/>
        <v>588707</v>
      </c>
      <c r="N68" s="63">
        <f t="shared" si="40"/>
        <v>138220.44</v>
      </c>
      <c r="O68" s="64">
        <f>N68/$M68</f>
        <v>0.23478647272751982</v>
      </c>
      <c r="P68" s="63">
        <f>P96</f>
        <v>304967.11</v>
      </c>
      <c r="Q68" s="64">
        <f>P68/$M68</f>
        <v>0.518028679801667</v>
      </c>
      <c r="R68" s="63">
        <f>R96</f>
        <v>429028.73000000004</v>
      </c>
      <c r="S68" s="64">
        <f>R68/$M68</f>
        <v>0.72876444479172153</v>
      </c>
      <c r="T68" s="63">
        <f>T96</f>
        <v>565026.47000000009</v>
      </c>
      <c r="U68" s="64">
        <f>T68/$M68</f>
        <v>0.95977535514271117</v>
      </c>
      <c r="V68" s="63">
        <f>V96</f>
        <v>522208</v>
      </c>
      <c r="W68" s="63">
        <f>W96</f>
        <v>522208</v>
      </c>
    </row>
    <row r="69" spans="1:23" x14ac:dyDescent="0.25">
      <c r="A69" s="24"/>
      <c r="B69" s="25"/>
      <c r="C69" s="32" t="s">
        <v>31</v>
      </c>
      <c r="D69" s="33">
        <f t="shared" ref="D69:N69" si="41">SUM(D68:D68)</f>
        <v>467659.65</v>
      </c>
      <c r="E69" s="33">
        <f t="shared" si="41"/>
        <v>474738.5199999999</v>
      </c>
      <c r="F69" s="33">
        <f t="shared" si="41"/>
        <v>480248</v>
      </c>
      <c r="G69" s="33">
        <f t="shared" si="41"/>
        <v>486713.67</v>
      </c>
      <c r="H69" s="33">
        <f t="shared" si="41"/>
        <v>513430</v>
      </c>
      <c r="I69" s="33">
        <f t="shared" si="41"/>
        <v>9498</v>
      </c>
      <c r="J69" s="33">
        <f t="shared" si="41"/>
        <v>700</v>
      </c>
      <c r="K69" s="33">
        <f t="shared" si="41"/>
        <v>50000</v>
      </c>
      <c r="L69" s="33">
        <f t="shared" si="41"/>
        <v>15079</v>
      </c>
      <c r="M69" s="33">
        <f t="shared" si="41"/>
        <v>588707</v>
      </c>
      <c r="N69" s="33">
        <f t="shared" si="41"/>
        <v>138220.44</v>
      </c>
      <c r="O69" s="34">
        <f>N69/$M69</f>
        <v>0.23478647272751982</v>
      </c>
      <c r="P69" s="33">
        <f>SUM(P68:P68)</f>
        <v>304967.11</v>
      </c>
      <c r="Q69" s="34">
        <f>P69/$M69</f>
        <v>0.518028679801667</v>
      </c>
      <c r="R69" s="33">
        <f>SUM(R68:R68)</f>
        <v>429028.73000000004</v>
      </c>
      <c r="S69" s="34">
        <f>R69/$M69</f>
        <v>0.72876444479172153</v>
      </c>
      <c r="T69" s="33">
        <f>SUM(T68:T68)</f>
        <v>565026.47000000009</v>
      </c>
      <c r="U69" s="34">
        <f>T69/$M69</f>
        <v>0.95977535514271117</v>
      </c>
      <c r="V69" s="33">
        <f>SUM(V68:V68)</f>
        <v>522208</v>
      </c>
      <c r="W69" s="33">
        <f>SUM(W68:W68)</f>
        <v>522208</v>
      </c>
    </row>
    <row r="71" spans="1:23" x14ac:dyDescent="0.25">
      <c r="A71" s="65" t="s">
        <v>73</v>
      </c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65"/>
      <c r="Q71" s="66"/>
      <c r="R71" s="65"/>
      <c r="S71" s="66"/>
      <c r="T71" s="65"/>
      <c r="U71" s="66"/>
      <c r="V71" s="65"/>
      <c r="W71" s="65"/>
    </row>
    <row r="72" spans="1:23" x14ac:dyDescent="0.25">
      <c r="A72" s="16" t="s">
        <v>33</v>
      </c>
      <c r="B72" s="16" t="s">
        <v>34</v>
      </c>
      <c r="C72" s="16" t="s">
        <v>35</v>
      </c>
      <c r="D72" s="16" t="s">
        <v>1</v>
      </c>
      <c r="E72" s="16" t="s">
        <v>2</v>
      </c>
      <c r="F72" s="16" t="s">
        <v>3</v>
      </c>
      <c r="G72" s="16" t="s">
        <v>4</v>
      </c>
      <c r="H72" s="16" t="s">
        <v>5</v>
      </c>
      <c r="I72" s="16" t="s">
        <v>6</v>
      </c>
      <c r="J72" s="16" t="s">
        <v>7</v>
      </c>
      <c r="K72" s="16" t="s">
        <v>8</v>
      </c>
      <c r="L72" s="16" t="s">
        <v>9</v>
      </c>
      <c r="M72" s="16" t="s">
        <v>10</v>
      </c>
      <c r="N72" s="16" t="s">
        <v>11</v>
      </c>
      <c r="O72" s="17" t="s">
        <v>12</v>
      </c>
      <c r="P72" s="16" t="s">
        <v>13</v>
      </c>
      <c r="Q72" s="17" t="s">
        <v>14</v>
      </c>
      <c r="R72" s="16" t="s">
        <v>15</v>
      </c>
      <c r="S72" s="17" t="s">
        <v>16</v>
      </c>
      <c r="T72" s="16" t="s">
        <v>17</v>
      </c>
      <c r="U72" s="17" t="s">
        <v>18</v>
      </c>
      <c r="V72" s="16" t="s">
        <v>19</v>
      </c>
      <c r="W72" s="16" t="s">
        <v>20</v>
      </c>
    </row>
    <row r="73" spans="1:23" x14ac:dyDescent="0.25">
      <c r="A73" s="6" t="s">
        <v>48</v>
      </c>
      <c r="B73" s="18">
        <v>311</v>
      </c>
      <c r="C73" s="18" t="s">
        <v>74</v>
      </c>
      <c r="D73" s="19">
        <v>1982.12</v>
      </c>
      <c r="E73" s="19">
        <v>1620.36</v>
      </c>
      <c r="F73" s="19">
        <v>1600</v>
      </c>
      <c r="G73" s="19">
        <v>1317.12</v>
      </c>
      <c r="H73" s="67">
        <v>0</v>
      </c>
      <c r="I73" s="67"/>
      <c r="J73" s="67">
        <v>700</v>
      </c>
      <c r="K73" s="67"/>
      <c r="L73" s="67"/>
      <c r="M73" s="67">
        <f t="shared" ref="M73:M95" si="42">H73+SUM(I73:L73)</f>
        <v>700</v>
      </c>
      <c r="N73" s="67">
        <v>700</v>
      </c>
      <c r="O73" s="68">
        <f t="shared" ref="O73:O96" si="43">N73/$M73</f>
        <v>1</v>
      </c>
      <c r="P73" s="67">
        <v>700</v>
      </c>
      <c r="Q73" s="68">
        <f t="shared" ref="Q73:Q96" si="44">P73/$M73</f>
        <v>1</v>
      </c>
      <c r="R73" s="67">
        <v>700</v>
      </c>
      <c r="S73" s="68">
        <f t="shared" ref="S73:S96" si="45">R73/$M73</f>
        <v>1</v>
      </c>
      <c r="T73" s="67">
        <v>700</v>
      </c>
      <c r="U73" s="68">
        <f t="shared" ref="U73:U96" si="46">T73/$M73</f>
        <v>1</v>
      </c>
      <c r="V73" s="16"/>
      <c r="W73" s="16"/>
    </row>
    <row r="74" spans="1:23" x14ac:dyDescent="0.25">
      <c r="A74" s="6"/>
      <c r="B74" s="18">
        <v>312001</v>
      </c>
      <c r="C74" s="18" t="s">
        <v>75</v>
      </c>
      <c r="D74" s="19">
        <f>324947+7697</f>
        <v>332644</v>
      </c>
      <c r="E74" s="19">
        <v>350826</v>
      </c>
      <c r="F74" s="19">
        <v>368472</v>
      </c>
      <c r="G74" s="19">
        <f>373433+57.39+792</f>
        <v>374282.39</v>
      </c>
      <c r="H74" s="67">
        <v>394085</v>
      </c>
      <c r="I74" s="67"/>
      <c r="J74" s="67"/>
      <c r="K74" s="67"/>
      <c r="L74" s="67"/>
      <c r="M74" s="67">
        <f t="shared" si="42"/>
        <v>394085</v>
      </c>
      <c r="N74" s="67">
        <v>97109</v>
      </c>
      <c r="O74" s="68">
        <f t="shared" si="43"/>
        <v>0.24641638225255974</v>
      </c>
      <c r="P74" s="67">
        <v>194219</v>
      </c>
      <c r="Q74" s="68">
        <f t="shared" si="44"/>
        <v>0.49283530202875014</v>
      </c>
      <c r="R74" s="67">
        <v>291328</v>
      </c>
      <c r="S74" s="68">
        <f t="shared" si="45"/>
        <v>0.73925168428130983</v>
      </c>
      <c r="T74" s="67">
        <v>391633</v>
      </c>
      <c r="U74" s="68">
        <f t="shared" si="46"/>
        <v>0.99377799205755102</v>
      </c>
      <c r="V74" s="67">
        <f t="shared" ref="V74:V92" si="47">H74</f>
        <v>394085</v>
      </c>
      <c r="W74" s="67">
        <f t="shared" ref="W74:W95" si="48">V74</f>
        <v>394085</v>
      </c>
    </row>
    <row r="75" spans="1:23" x14ac:dyDescent="0.25">
      <c r="A75" s="6"/>
      <c r="B75" s="18">
        <v>312001</v>
      </c>
      <c r="C75" s="18" t="s">
        <v>76</v>
      </c>
      <c r="D75" s="19">
        <v>2967</v>
      </c>
      <c r="E75" s="19">
        <v>3553</v>
      </c>
      <c r="F75" s="19">
        <v>4028</v>
      </c>
      <c r="G75" s="19">
        <v>5045</v>
      </c>
      <c r="H75" s="67">
        <v>11510</v>
      </c>
      <c r="I75" s="67"/>
      <c r="J75" s="67"/>
      <c r="K75" s="67"/>
      <c r="L75" s="67"/>
      <c r="M75" s="67">
        <f t="shared" si="42"/>
        <v>11510</v>
      </c>
      <c r="N75" s="67">
        <v>1889</v>
      </c>
      <c r="O75" s="68">
        <f t="shared" si="43"/>
        <v>0.16411815812337099</v>
      </c>
      <c r="P75" s="67">
        <v>1889</v>
      </c>
      <c r="Q75" s="68">
        <f t="shared" si="44"/>
        <v>0.16411815812337099</v>
      </c>
      <c r="R75" s="67">
        <v>1889</v>
      </c>
      <c r="S75" s="68">
        <f t="shared" si="45"/>
        <v>0.16411815812337099</v>
      </c>
      <c r="T75" s="67">
        <v>1889</v>
      </c>
      <c r="U75" s="68">
        <f t="shared" si="46"/>
        <v>0.16411815812337099</v>
      </c>
      <c r="V75" s="67">
        <f t="shared" si="47"/>
        <v>11510</v>
      </c>
      <c r="W75" s="67">
        <f t="shared" si="48"/>
        <v>11510</v>
      </c>
    </row>
    <row r="76" spans="1:23" x14ac:dyDescent="0.25">
      <c r="A76" s="6"/>
      <c r="B76" s="18">
        <v>312001</v>
      </c>
      <c r="C76" s="18" t="s">
        <v>77</v>
      </c>
      <c r="D76" s="19">
        <v>3600</v>
      </c>
      <c r="E76" s="19">
        <v>1300</v>
      </c>
      <c r="F76" s="19">
        <v>4095</v>
      </c>
      <c r="G76" s="19">
        <v>3412.5</v>
      </c>
      <c r="H76" s="67">
        <v>4095</v>
      </c>
      <c r="I76" s="67"/>
      <c r="J76" s="67"/>
      <c r="K76" s="67"/>
      <c r="L76" s="67"/>
      <c r="M76" s="67">
        <f t="shared" si="42"/>
        <v>4095</v>
      </c>
      <c r="N76" s="67">
        <v>1065</v>
      </c>
      <c r="O76" s="68">
        <f t="shared" si="43"/>
        <v>0.26007326007326009</v>
      </c>
      <c r="P76" s="67">
        <v>2840</v>
      </c>
      <c r="Q76" s="68">
        <f t="shared" si="44"/>
        <v>0.69352869352869351</v>
      </c>
      <c r="R76" s="67">
        <v>4260</v>
      </c>
      <c r="S76" s="68">
        <f t="shared" si="45"/>
        <v>1.0402930402930404</v>
      </c>
      <c r="T76" s="67">
        <v>4346</v>
      </c>
      <c r="U76" s="68">
        <f t="shared" si="46"/>
        <v>1.0612942612942613</v>
      </c>
      <c r="V76" s="67">
        <f t="shared" si="47"/>
        <v>4095</v>
      </c>
      <c r="W76" s="67">
        <f t="shared" si="48"/>
        <v>4095</v>
      </c>
    </row>
    <row r="77" spans="1:23" x14ac:dyDescent="0.25">
      <c r="A77" s="6"/>
      <c r="B77" s="18">
        <v>312001</v>
      </c>
      <c r="C77" s="18" t="s">
        <v>78</v>
      </c>
      <c r="D77" s="19">
        <v>3868.6</v>
      </c>
      <c r="E77" s="19">
        <v>4507</v>
      </c>
      <c r="F77" s="19">
        <v>4500</v>
      </c>
      <c r="G77" s="19">
        <v>4992</v>
      </c>
      <c r="H77" s="67">
        <v>5640</v>
      </c>
      <c r="I77" s="67"/>
      <c r="J77" s="67"/>
      <c r="K77" s="67"/>
      <c r="L77" s="67"/>
      <c r="M77" s="67">
        <f t="shared" si="42"/>
        <v>5640</v>
      </c>
      <c r="N77" s="67">
        <v>1749</v>
      </c>
      <c r="O77" s="68">
        <f t="shared" si="43"/>
        <v>0.31010638297872339</v>
      </c>
      <c r="P77" s="67">
        <v>3498</v>
      </c>
      <c r="Q77" s="68">
        <f t="shared" si="44"/>
        <v>0.62021276595744679</v>
      </c>
      <c r="R77" s="67">
        <v>3498</v>
      </c>
      <c r="S77" s="68">
        <f t="shared" si="45"/>
        <v>0.62021276595744679</v>
      </c>
      <c r="T77" s="67">
        <v>5803</v>
      </c>
      <c r="U77" s="68">
        <f t="shared" si="46"/>
        <v>1.0289007092198581</v>
      </c>
      <c r="V77" s="67">
        <f t="shared" si="47"/>
        <v>5640</v>
      </c>
      <c r="W77" s="67">
        <f t="shared" si="48"/>
        <v>5640</v>
      </c>
    </row>
    <row r="78" spans="1:23" x14ac:dyDescent="0.25">
      <c r="A78" s="6"/>
      <c r="B78" s="18">
        <v>312001</v>
      </c>
      <c r="C78" s="18" t="s">
        <v>79</v>
      </c>
      <c r="D78" s="19">
        <v>5807</v>
      </c>
      <c r="E78" s="19">
        <v>6280</v>
      </c>
      <c r="F78" s="19">
        <v>6280</v>
      </c>
      <c r="G78" s="19">
        <v>6089</v>
      </c>
      <c r="H78" s="67">
        <v>6089</v>
      </c>
      <c r="I78" s="67"/>
      <c r="J78" s="67"/>
      <c r="K78" s="67"/>
      <c r="L78" s="67"/>
      <c r="M78" s="67">
        <f t="shared" si="42"/>
        <v>6089</v>
      </c>
      <c r="N78" s="67">
        <v>1399</v>
      </c>
      <c r="O78" s="68">
        <f t="shared" si="43"/>
        <v>0.22975858104779109</v>
      </c>
      <c r="P78" s="67">
        <v>2035</v>
      </c>
      <c r="Q78" s="68">
        <f t="shared" si="44"/>
        <v>0.33420922975858103</v>
      </c>
      <c r="R78" s="67">
        <v>2552</v>
      </c>
      <c r="S78" s="68">
        <f t="shared" si="45"/>
        <v>0.41911643948103139</v>
      </c>
      <c r="T78" s="67">
        <v>3312</v>
      </c>
      <c r="U78" s="68">
        <f t="shared" si="46"/>
        <v>0.54393168007883064</v>
      </c>
      <c r="V78" s="67">
        <f t="shared" si="47"/>
        <v>6089</v>
      </c>
      <c r="W78" s="67">
        <f t="shared" si="48"/>
        <v>6089</v>
      </c>
    </row>
    <row r="79" spans="1:23" x14ac:dyDescent="0.25">
      <c r="A79" s="6"/>
      <c r="B79" s="18">
        <v>312001</v>
      </c>
      <c r="C79" s="18" t="s">
        <v>80</v>
      </c>
      <c r="D79" s="19">
        <v>1245</v>
      </c>
      <c r="E79" s="19">
        <v>1162</v>
      </c>
      <c r="F79" s="19">
        <v>1200</v>
      </c>
      <c r="G79" s="19">
        <v>1029.2</v>
      </c>
      <c r="H79" s="67">
        <v>1000</v>
      </c>
      <c r="I79" s="67"/>
      <c r="J79" s="67"/>
      <c r="K79" s="67"/>
      <c r="L79" s="67"/>
      <c r="M79" s="67">
        <f t="shared" si="42"/>
        <v>1000</v>
      </c>
      <c r="N79" s="67">
        <v>282.2</v>
      </c>
      <c r="O79" s="68">
        <f t="shared" si="43"/>
        <v>0.28220000000000001</v>
      </c>
      <c r="P79" s="67">
        <v>282.2</v>
      </c>
      <c r="Q79" s="68">
        <f t="shared" si="44"/>
        <v>0.28220000000000001</v>
      </c>
      <c r="R79" s="67">
        <v>564.4</v>
      </c>
      <c r="S79" s="68">
        <f t="shared" si="45"/>
        <v>0.56440000000000001</v>
      </c>
      <c r="T79" s="67">
        <v>564.4</v>
      </c>
      <c r="U79" s="68">
        <f t="shared" si="46"/>
        <v>0.56440000000000001</v>
      </c>
      <c r="V79" s="67">
        <f t="shared" si="47"/>
        <v>1000</v>
      </c>
      <c r="W79" s="67">
        <f t="shared" si="48"/>
        <v>1000</v>
      </c>
    </row>
    <row r="80" spans="1:23" x14ac:dyDescent="0.25">
      <c r="A80" s="6"/>
      <c r="B80" s="18">
        <v>312001</v>
      </c>
      <c r="C80" s="18" t="s">
        <v>81</v>
      </c>
      <c r="D80" s="19">
        <v>19300</v>
      </c>
      <c r="E80" s="19">
        <v>0</v>
      </c>
      <c r="F80" s="19">
        <v>0</v>
      </c>
      <c r="G80" s="19">
        <v>0</v>
      </c>
      <c r="H80" s="67">
        <v>0</v>
      </c>
      <c r="I80" s="67">
        <v>9674</v>
      </c>
      <c r="J80" s="67"/>
      <c r="K80" s="67"/>
      <c r="L80" s="67">
        <v>1400</v>
      </c>
      <c r="M80" s="67">
        <f t="shared" si="42"/>
        <v>11074</v>
      </c>
      <c r="N80" s="67">
        <v>9674</v>
      </c>
      <c r="O80" s="68">
        <f t="shared" si="43"/>
        <v>0.87357774968394442</v>
      </c>
      <c r="P80" s="67">
        <v>9674</v>
      </c>
      <c r="Q80" s="68">
        <f t="shared" si="44"/>
        <v>0.87357774968394442</v>
      </c>
      <c r="R80" s="67">
        <v>9760</v>
      </c>
      <c r="S80" s="68">
        <f t="shared" si="45"/>
        <v>0.88134368791764495</v>
      </c>
      <c r="T80" s="67">
        <v>11732</v>
      </c>
      <c r="U80" s="68">
        <f t="shared" si="46"/>
        <v>1.0594184576485461</v>
      </c>
      <c r="V80" s="67">
        <f t="shared" si="47"/>
        <v>0</v>
      </c>
      <c r="W80" s="67">
        <f t="shared" si="48"/>
        <v>0</v>
      </c>
    </row>
    <row r="81" spans="1:23" x14ac:dyDescent="0.25">
      <c r="A81" s="6"/>
      <c r="B81" s="18">
        <v>312001</v>
      </c>
      <c r="C81" s="18" t="s">
        <v>82</v>
      </c>
      <c r="D81" s="19">
        <v>4825</v>
      </c>
      <c r="E81" s="19">
        <v>4937</v>
      </c>
      <c r="F81" s="19">
        <v>5045</v>
      </c>
      <c r="G81" s="19">
        <v>5045</v>
      </c>
      <c r="H81" s="67">
        <v>5045</v>
      </c>
      <c r="I81" s="67"/>
      <c r="J81" s="67"/>
      <c r="K81" s="67"/>
      <c r="L81" s="67"/>
      <c r="M81" s="67">
        <f t="shared" si="42"/>
        <v>5045</v>
      </c>
      <c r="N81" s="67">
        <v>1261</v>
      </c>
      <c r="O81" s="68">
        <f t="shared" si="43"/>
        <v>0.24995044598612487</v>
      </c>
      <c r="P81" s="67">
        <v>3363</v>
      </c>
      <c r="Q81" s="68">
        <f t="shared" si="44"/>
        <v>0.66660059464816646</v>
      </c>
      <c r="R81" s="67">
        <v>3363</v>
      </c>
      <c r="S81" s="68">
        <f t="shared" si="45"/>
        <v>0.66660059464816646</v>
      </c>
      <c r="T81" s="67">
        <v>4774</v>
      </c>
      <c r="U81" s="68">
        <f t="shared" si="46"/>
        <v>0.94628344895936567</v>
      </c>
      <c r="V81" s="67">
        <f t="shared" si="47"/>
        <v>5045</v>
      </c>
      <c r="W81" s="67">
        <f t="shared" si="48"/>
        <v>5045</v>
      </c>
    </row>
    <row r="82" spans="1:23" x14ac:dyDescent="0.25">
      <c r="A82" s="6"/>
      <c r="B82" s="18">
        <v>312001</v>
      </c>
      <c r="C82" s="18" t="s">
        <v>83</v>
      </c>
      <c r="D82" s="19">
        <v>2453.4</v>
      </c>
      <c r="E82" s="19">
        <v>1745</v>
      </c>
      <c r="F82" s="19">
        <v>1750</v>
      </c>
      <c r="G82" s="19">
        <v>1350</v>
      </c>
      <c r="H82" s="67">
        <v>720</v>
      </c>
      <c r="I82" s="67"/>
      <c r="J82" s="67"/>
      <c r="K82" s="67"/>
      <c r="L82" s="67"/>
      <c r="M82" s="67">
        <f t="shared" si="42"/>
        <v>720</v>
      </c>
      <c r="N82" s="67">
        <v>223</v>
      </c>
      <c r="O82" s="68">
        <f t="shared" si="43"/>
        <v>0.30972222222222223</v>
      </c>
      <c r="P82" s="67">
        <v>446</v>
      </c>
      <c r="Q82" s="68">
        <f t="shared" si="44"/>
        <v>0.61944444444444446</v>
      </c>
      <c r="R82" s="67">
        <v>446</v>
      </c>
      <c r="S82" s="68">
        <f t="shared" si="45"/>
        <v>0.61944444444444446</v>
      </c>
      <c r="T82" s="67">
        <v>781</v>
      </c>
      <c r="U82" s="68">
        <f t="shared" si="46"/>
        <v>1.0847222222222221</v>
      </c>
      <c r="V82" s="67">
        <f t="shared" si="47"/>
        <v>720</v>
      </c>
      <c r="W82" s="67">
        <f t="shared" si="48"/>
        <v>720</v>
      </c>
    </row>
    <row r="83" spans="1:23" x14ac:dyDescent="0.25">
      <c r="A83" s="6"/>
      <c r="B83" s="18">
        <v>312001</v>
      </c>
      <c r="C83" s="18" t="s">
        <v>84</v>
      </c>
      <c r="D83" s="19">
        <v>1982.12</v>
      </c>
      <c r="E83" s="19">
        <v>1620.36</v>
      </c>
      <c r="F83" s="19">
        <v>1600</v>
      </c>
      <c r="G83" s="19">
        <v>1317.12</v>
      </c>
      <c r="H83" s="67">
        <v>1300</v>
      </c>
      <c r="I83" s="67"/>
      <c r="J83" s="67"/>
      <c r="K83" s="67"/>
      <c r="L83" s="67"/>
      <c r="M83" s="67">
        <f t="shared" si="42"/>
        <v>1300</v>
      </c>
      <c r="N83" s="67">
        <v>282.24</v>
      </c>
      <c r="O83" s="68">
        <f t="shared" si="43"/>
        <v>0.21710769230769231</v>
      </c>
      <c r="P83" s="67">
        <v>493.92</v>
      </c>
      <c r="Q83" s="68">
        <f t="shared" si="44"/>
        <v>0.37993846153846156</v>
      </c>
      <c r="R83" s="67">
        <v>493.92</v>
      </c>
      <c r="S83" s="68">
        <f t="shared" si="45"/>
        <v>0.37993846153846156</v>
      </c>
      <c r="T83" s="67">
        <v>540.96</v>
      </c>
      <c r="U83" s="68">
        <f t="shared" si="46"/>
        <v>0.41612307692307693</v>
      </c>
      <c r="V83" s="67">
        <f t="shared" si="47"/>
        <v>1300</v>
      </c>
      <c r="W83" s="67">
        <f t="shared" si="48"/>
        <v>1300</v>
      </c>
    </row>
    <row r="84" spans="1:23" x14ac:dyDescent="0.25">
      <c r="A84" s="6"/>
      <c r="B84" s="18">
        <v>312001</v>
      </c>
      <c r="C84" s="18" t="s">
        <v>85</v>
      </c>
      <c r="D84" s="19">
        <v>2958.33</v>
      </c>
      <c r="E84" s="19">
        <v>2945.31</v>
      </c>
      <c r="F84" s="19">
        <v>2936</v>
      </c>
      <c r="G84" s="19">
        <v>2936.01</v>
      </c>
      <c r="H84" s="67">
        <v>2936</v>
      </c>
      <c r="I84" s="67"/>
      <c r="J84" s="67"/>
      <c r="K84" s="67"/>
      <c r="L84" s="67"/>
      <c r="M84" s="67">
        <f t="shared" si="42"/>
        <v>2936</v>
      </c>
      <c r="N84" s="67">
        <v>0</v>
      </c>
      <c r="O84" s="68">
        <f t="shared" si="43"/>
        <v>0</v>
      </c>
      <c r="P84" s="67">
        <v>2935.08</v>
      </c>
      <c r="Q84" s="68">
        <f t="shared" si="44"/>
        <v>0.99968664850136235</v>
      </c>
      <c r="R84" s="67">
        <v>2935.08</v>
      </c>
      <c r="S84" s="68">
        <f t="shared" si="45"/>
        <v>0.99968664850136235</v>
      </c>
      <c r="T84" s="67">
        <v>2935.08</v>
      </c>
      <c r="U84" s="68">
        <f t="shared" si="46"/>
        <v>0.99968664850136235</v>
      </c>
      <c r="V84" s="67">
        <f t="shared" si="47"/>
        <v>2936</v>
      </c>
      <c r="W84" s="67">
        <f t="shared" si="48"/>
        <v>2936</v>
      </c>
    </row>
    <row r="85" spans="1:23" x14ac:dyDescent="0.25">
      <c r="A85" s="6"/>
      <c r="B85" s="18">
        <v>312001</v>
      </c>
      <c r="C85" s="18" t="s">
        <v>86</v>
      </c>
      <c r="D85" s="19">
        <v>24700.65</v>
      </c>
      <c r="E85" s="19">
        <v>136.81</v>
      </c>
      <c r="F85" s="19">
        <v>136</v>
      </c>
      <c r="G85" s="19">
        <v>136.38</v>
      </c>
      <c r="H85" s="67">
        <v>136</v>
      </c>
      <c r="I85" s="67"/>
      <c r="J85" s="67"/>
      <c r="K85" s="67"/>
      <c r="L85" s="67"/>
      <c r="M85" s="67">
        <f t="shared" si="42"/>
        <v>136</v>
      </c>
      <c r="N85" s="67">
        <v>0</v>
      </c>
      <c r="O85" s="68">
        <f t="shared" si="43"/>
        <v>0</v>
      </c>
      <c r="P85" s="67">
        <v>0</v>
      </c>
      <c r="Q85" s="68">
        <f t="shared" si="44"/>
        <v>0</v>
      </c>
      <c r="R85" s="67">
        <v>136.34</v>
      </c>
      <c r="S85" s="68">
        <f t="shared" si="45"/>
        <v>1.0024999999999999</v>
      </c>
      <c r="T85" s="67">
        <v>136.34</v>
      </c>
      <c r="U85" s="68">
        <f t="shared" si="46"/>
        <v>1.0024999999999999</v>
      </c>
      <c r="V85" s="67">
        <f t="shared" si="47"/>
        <v>136</v>
      </c>
      <c r="W85" s="67">
        <f t="shared" si="48"/>
        <v>136</v>
      </c>
    </row>
    <row r="86" spans="1:23" x14ac:dyDescent="0.25">
      <c r="A86" s="6"/>
      <c r="B86" s="18">
        <v>312001</v>
      </c>
      <c r="C86" s="18" t="s">
        <v>87</v>
      </c>
      <c r="D86" s="19">
        <v>333.79</v>
      </c>
      <c r="E86" s="19">
        <v>296.81</v>
      </c>
      <c r="F86" s="19">
        <v>300</v>
      </c>
      <c r="G86" s="19">
        <v>295.58</v>
      </c>
      <c r="H86" s="67">
        <v>295</v>
      </c>
      <c r="I86" s="67"/>
      <c r="J86" s="67"/>
      <c r="K86" s="67"/>
      <c r="L86" s="67"/>
      <c r="M86" s="67">
        <f t="shared" si="42"/>
        <v>295</v>
      </c>
      <c r="N86" s="67">
        <v>295.2</v>
      </c>
      <c r="O86" s="68">
        <f t="shared" si="43"/>
        <v>1.0006779661016949</v>
      </c>
      <c r="P86" s="67">
        <v>295.2</v>
      </c>
      <c r="Q86" s="68">
        <f t="shared" si="44"/>
        <v>1.0006779661016949</v>
      </c>
      <c r="R86" s="67">
        <v>295.2</v>
      </c>
      <c r="S86" s="68">
        <f t="shared" si="45"/>
        <v>1.0006779661016949</v>
      </c>
      <c r="T86" s="67">
        <v>295.2</v>
      </c>
      <c r="U86" s="68">
        <f t="shared" si="46"/>
        <v>1.0006779661016949</v>
      </c>
      <c r="V86" s="67">
        <f t="shared" si="47"/>
        <v>295</v>
      </c>
      <c r="W86" s="67">
        <f t="shared" si="48"/>
        <v>295</v>
      </c>
    </row>
    <row r="87" spans="1:23" x14ac:dyDescent="0.25">
      <c r="A87" s="6"/>
      <c r="B87" s="18">
        <v>312001</v>
      </c>
      <c r="C87" s="18" t="s">
        <v>88</v>
      </c>
      <c r="D87" s="19">
        <v>3828</v>
      </c>
      <c r="E87" s="19">
        <v>3905.31</v>
      </c>
      <c r="F87" s="19">
        <v>3911</v>
      </c>
      <c r="G87" s="19">
        <v>4000.79</v>
      </c>
      <c r="H87" s="67">
        <v>4000</v>
      </c>
      <c r="I87" s="67"/>
      <c r="J87" s="67"/>
      <c r="K87" s="67"/>
      <c r="L87" s="67"/>
      <c r="M87" s="67">
        <f t="shared" si="42"/>
        <v>4000</v>
      </c>
      <c r="N87" s="67">
        <v>3975.94</v>
      </c>
      <c r="O87" s="68">
        <f t="shared" si="43"/>
        <v>0.99398500000000001</v>
      </c>
      <c r="P87" s="67">
        <v>3975.94</v>
      </c>
      <c r="Q87" s="68">
        <f t="shared" si="44"/>
        <v>0.99398500000000001</v>
      </c>
      <c r="R87" s="67">
        <v>4103.17</v>
      </c>
      <c r="S87" s="68">
        <f t="shared" si="45"/>
        <v>1.0257925000000001</v>
      </c>
      <c r="T87" s="67">
        <v>4103.17</v>
      </c>
      <c r="U87" s="68">
        <f t="shared" si="46"/>
        <v>1.0257925000000001</v>
      </c>
      <c r="V87" s="67">
        <f t="shared" si="47"/>
        <v>4000</v>
      </c>
      <c r="W87" s="67">
        <f t="shared" si="48"/>
        <v>4000</v>
      </c>
    </row>
    <row r="88" spans="1:23" x14ac:dyDescent="0.25">
      <c r="A88" s="6"/>
      <c r="B88" s="18">
        <v>312001</v>
      </c>
      <c r="C88" s="18" t="s">
        <v>89</v>
      </c>
      <c r="D88" s="19">
        <v>1049.73</v>
      </c>
      <c r="E88" s="19">
        <v>1045.1099999999999</v>
      </c>
      <c r="F88" s="19">
        <v>1042</v>
      </c>
      <c r="G88" s="19">
        <v>1041.81</v>
      </c>
      <c r="H88" s="67">
        <v>1042</v>
      </c>
      <c r="I88" s="67">
        <v>20</v>
      </c>
      <c r="J88" s="67"/>
      <c r="K88" s="67"/>
      <c r="L88" s="67"/>
      <c r="M88" s="67">
        <f t="shared" si="42"/>
        <v>1062</v>
      </c>
      <c r="N88" s="67">
        <v>1061.68</v>
      </c>
      <c r="O88" s="68">
        <f t="shared" si="43"/>
        <v>0.99969868173258014</v>
      </c>
      <c r="P88" s="67">
        <v>1061.68</v>
      </c>
      <c r="Q88" s="68">
        <f t="shared" si="44"/>
        <v>0.99969868173258014</v>
      </c>
      <c r="R88" s="67">
        <v>1061.68</v>
      </c>
      <c r="S88" s="68">
        <f t="shared" si="45"/>
        <v>0.99969868173258014</v>
      </c>
      <c r="T88" s="67">
        <v>1061.68</v>
      </c>
      <c r="U88" s="68">
        <f t="shared" si="46"/>
        <v>0.99969868173258014</v>
      </c>
      <c r="V88" s="67">
        <f t="shared" si="47"/>
        <v>1042</v>
      </c>
      <c r="W88" s="67">
        <f t="shared" si="48"/>
        <v>1042</v>
      </c>
    </row>
    <row r="89" spans="1:23" x14ac:dyDescent="0.25">
      <c r="A89" s="6"/>
      <c r="B89" s="18">
        <v>312001</v>
      </c>
      <c r="C89" s="18" t="s">
        <v>90</v>
      </c>
      <c r="D89" s="19">
        <v>1144.01</v>
      </c>
      <c r="E89" s="19">
        <v>7289.6</v>
      </c>
      <c r="F89" s="19">
        <v>2000</v>
      </c>
      <c r="G89" s="19">
        <v>1280</v>
      </c>
      <c r="H89" s="67">
        <v>2000</v>
      </c>
      <c r="I89" s="67">
        <v>-196</v>
      </c>
      <c r="J89" s="67"/>
      <c r="K89" s="67"/>
      <c r="L89" s="67"/>
      <c r="M89" s="67">
        <f t="shared" si="42"/>
        <v>1804</v>
      </c>
      <c r="N89" s="67">
        <v>1803.52</v>
      </c>
      <c r="O89" s="68">
        <f t="shared" si="43"/>
        <v>0.99973392461197341</v>
      </c>
      <c r="P89" s="67">
        <v>1803.52</v>
      </c>
      <c r="Q89" s="68">
        <f t="shared" si="44"/>
        <v>0.99973392461197341</v>
      </c>
      <c r="R89" s="67">
        <v>1803.52</v>
      </c>
      <c r="S89" s="68">
        <f t="shared" si="45"/>
        <v>0.99973392461197341</v>
      </c>
      <c r="T89" s="67">
        <v>1803.52</v>
      </c>
      <c r="U89" s="68">
        <f t="shared" si="46"/>
        <v>0.99973392461197341</v>
      </c>
      <c r="V89" s="67">
        <f t="shared" si="47"/>
        <v>2000</v>
      </c>
      <c r="W89" s="67">
        <f t="shared" si="48"/>
        <v>2000</v>
      </c>
    </row>
    <row r="90" spans="1:23" x14ac:dyDescent="0.25">
      <c r="A90" s="6"/>
      <c r="B90" s="18">
        <v>312001</v>
      </c>
      <c r="C90" s="18" t="s">
        <v>91</v>
      </c>
      <c r="D90" s="19">
        <v>241.2</v>
      </c>
      <c r="E90" s="19">
        <v>241.2</v>
      </c>
      <c r="F90" s="19">
        <v>241</v>
      </c>
      <c r="G90" s="19">
        <v>241.23</v>
      </c>
      <c r="H90" s="67">
        <v>241</v>
      </c>
      <c r="I90" s="67"/>
      <c r="J90" s="67"/>
      <c r="K90" s="67"/>
      <c r="L90" s="67"/>
      <c r="M90" s="67">
        <f t="shared" si="42"/>
        <v>241</v>
      </c>
      <c r="N90" s="67">
        <v>0</v>
      </c>
      <c r="O90" s="68">
        <f t="shared" si="43"/>
        <v>0</v>
      </c>
      <c r="P90" s="67">
        <v>0</v>
      </c>
      <c r="Q90" s="68">
        <f t="shared" si="44"/>
        <v>0</v>
      </c>
      <c r="R90" s="67">
        <v>0</v>
      </c>
      <c r="S90" s="68">
        <f t="shared" si="45"/>
        <v>0</v>
      </c>
      <c r="T90" s="67">
        <v>210.77</v>
      </c>
      <c r="U90" s="68">
        <f t="shared" si="46"/>
        <v>0.87456431535269719</v>
      </c>
      <c r="V90" s="67">
        <f t="shared" si="47"/>
        <v>241</v>
      </c>
      <c r="W90" s="67">
        <f t="shared" si="48"/>
        <v>241</v>
      </c>
    </row>
    <row r="91" spans="1:23" x14ac:dyDescent="0.25">
      <c r="A91" s="6"/>
      <c r="B91" s="18">
        <v>312001</v>
      </c>
      <c r="C91" s="18" t="s">
        <v>92</v>
      </c>
      <c r="D91" s="19">
        <v>38400</v>
      </c>
      <c r="E91" s="19">
        <v>38400</v>
      </c>
      <c r="F91" s="19">
        <v>38400</v>
      </c>
      <c r="G91" s="19">
        <v>38400</v>
      </c>
      <c r="H91" s="67">
        <v>38400</v>
      </c>
      <c r="I91" s="67"/>
      <c r="J91" s="67"/>
      <c r="K91" s="67"/>
      <c r="L91" s="67"/>
      <c r="M91" s="67">
        <f t="shared" si="42"/>
        <v>38400</v>
      </c>
      <c r="N91" s="67">
        <v>9600</v>
      </c>
      <c r="O91" s="68">
        <f t="shared" si="43"/>
        <v>0.25</v>
      </c>
      <c r="P91" s="67">
        <v>19200</v>
      </c>
      <c r="Q91" s="68">
        <f t="shared" si="44"/>
        <v>0.5</v>
      </c>
      <c r="R91" s="67">
        <v>28800</v>
      </c>
      <c r="S91" s="68">
        <f t="shared" si="45"/>
        <v>0.75</v>
      </c>
      <c r="T91" s="67">
        <v>38400</v>
      </c>
      <c r="U91" s="68">
        <f t="shared" si="46"/>
        <v>1</v>
      </c>
      <c r="V91" s="67">
        <f t="shared" si="47"/>
        <v>38400</v>
      </c>
      <c r="W91" s="67">
        <f t="shared" si="48"/>
        <v>38400</v>
      </c>
    </row>
    <row r="92" spans="1:23" x14ac:dyDescent="0.25">
      <c r="A92" s="6"/>
      <c r="B92" s="18">
        <v>312001</v>
      </c>
      <c r="C92" s="18" t="s">
        <v>93</v>
      </c>
      <c r="D92" s="19">
        <v>0</v>
      </c>
      <c r="E92" s="19">
        <v>0</v>
      </c>
      <c r="F92" s="19">
        <v>0</v>
      </c>
      <c r="G92" s="19">
        <v>0</v>
      </c>
      <c r="H92" s="67">
        <v>8568</v>
      </c>
      <c r="I92" s="67"/>
      <c r="J92" s="67"/>
      <c r="K92" s="67"/>
      <c r="L92" s="67"/>
      <c r="M92" s="67">
        <f t="shared" si="42"/>
        <v>8568</v>
      </c>
      <c r="N92" s="67">
        <v>0</v>
      </c>
      <c r="O92" s="68">
        <f t="shared" si="43"/>
        <v>0</v>
      </c>
      <c r="P92" s="67">
        <v>0</v>
      </c>
      <c r="Q92" s="68">
        <f t="shared" si="44"/>
        <v>0</v>
      </c>
      <c r="R92" s="67">
        <v>0</v>
      </c>
      <c r="S92" s="68">
        <f t="shared" si="45"/>
        <v>0</v>
      </c>
      <c r="T92" s="67">
        <v>0</v>
      </c>
      <c r="U92" s="68">
        <f t="shared" si="46"/>
        <v>0</v>
      </c>
      <c r="V92" s="67">
        <f t="shared" si="47"/>
        <v>8568</v>
      </c>
      <c r="W92" s="67">
        <f t="shared" si="48"/>
        <v>8568</v>
      </c>
    </row>
    <row r="93" spans="1:23" x14ac:dyDescent="0.25">
      <c r="A93" s="6"/>
      <c r="B93" s="18">
        <v>312001</v>
      </c>
      <c r="C93" s="18" t="s">
        <v>94</v>
      </c>
      <c r="D93" s="19">
        <v>0</v>
      </c>
      <c r="E93" s="19">
        <v>17749.349999999999</v>
      </c>
      <c r="F93" s="19">
        <v>27312</v>
      </c>
      <c r="G93" s="19">
        <v>25239.919999999998</v>
      </c>
      <c r="H93" s="67">
        <v>26328</v>
      </c>
      <c r="I93" s="67"/>
      <c r="J93" s="67"/>
      <c r="K93" s="67"/>
      <c r="L93" s="67">
        <f>2779+10900</f>
        <v>13679</v>
      </c>
      <c r="M93" s="67">
        <f t="shared" si="42"/>
        <v>40007</v>
      </c>
      <c r="N93" s="67">
        <v>5850.66</v>
      </c>
      <c r="O93" s="68">
        <f t="shared" si="43"/>
        <v>0.14624090784112781</v>
      </c>
      <c r="P93" s="67">
        <f>5850.66+344.17+60.74</f>
        <v>6255.57</v>
      </c>
      <c r="Q93" s="68">
        <f t="shared" si="44"/>
        <v>0.15636188666983278</v>
      </c>
      <c r="R93" s="67">
        <f>5850.66+12910.45+2278.31</f>
        <v>21039.420000000002</v>
      </c>
      <c r="S93" s="68">
        <f t="shared" si="45"/>
        <v>0.52589346864298747</v>
      </c>
      <c r="T93" s="67">
        <v>40005.35</v>
      </c>
      <c r="U93" s="68">
        <f t="shared" si="46"/>
        <v>0.99995875721748695</v>
      </c>
      <c r="V93" s="67">
        <v>35106</v>
      </c>
      <c r="W93" s="67">
        <f t="shared" si="48"/>
        <v>35106</v>
      </c>
    </row>
    <row r="94" spans="1:23" x14ac:dyDescent="0.25">
      <c r="A94" s="6"/>
      <c r="B94" s="18">
        <v>312001</v>
      </c>
      <c r="C94" s="18" t="s">
        <v>95</v>
      </c>
      <c r="D94" s="19">
        <v>16311.82</v>
      </c>
      <c r="E94" s="19">
        <v>16798.66</v>
      </c>
      <c r="F94" s="19">
        <v>7000</v>
      </c>
      <c r="G94" s="19">
        <v>10579.74</v>
      </c>
      <c r="H94" s="67">
        <v>0</v>
      </c>
      <c r="I94" s="67"/>
      <c r="J94" s="67"/>
      <c r="K94" s="67"/>
      <c r="L94" s="67"/>
      <c r="M94" s="67">
        <f t="shared" si="42"/>
        <v>0</v>
      </c>
      <c r="N94" s="67">
        <v>0</v>
      </c>
      <c r="O94" s="68" t="e">
        <f t="shared" si="43"/>
        <v>#DIV/0!</v>
      </c>
      <c r="P94" s="67">
        <v>0</v>
      </c>
      <c r="Q94" s="68" t="e">
        <f t="shared" si="44"/>
        <v>#DIV/0!</v>
      </c>
      <c r="R94" s="67">
        <v>0</v>
      </c>
      <c r="S94" s="68" t="e">
        <f t="shared" si="45"/>
        <v>#DIV/0!</v>
      </c>
      <c r="T94" s="67">
        <v>0</v>
      </c>
      <c r="U94" s="68" t="e">
        <f t="shared" si="46"/>
        <v>#DIV/0!</v>
      </c>
      <c r="V94" s="67">
        <f>H94</f>
        <v>0</v>
      </c>
      <c r="W94" s="67">
        <f t="shared" si="48"/>
        <v>0</v>
      </c>
    </row>
    <row r="95" spans="1:23" x14ac:dyDescent="0.25">
      <c r="A95" s="6"/>
      <c r="B95" s="18">
        <v>322001</v>
      </c>
      <c r="C95" s="18" t="s">
        <v>96</v>
      </c>
      <c r="D95" s="19">
        <v>0</v>
      </c>
      <c r="E95" s="19">
        <v>10000</v>
      </c>
      <c r="F95" s="19">
        <v>0</v>
      </c>
      <c r="G95" s="19">
        <v>0</v>
      </c>
      <c r="H95" s="67">
        <v>0</v>
      </c>
      <c r="I95" s="67"/>
      <c r="J95" s="67"/>
      <c r="K95" s="67">
        <v>50000</v>
      </c>
      <c r="L95" s="67"/>
      <c r="M95" s="67">
        <f t="shared" si="42"/>
        <v>50000</v>
      </c>
      <c r="N95" s="67">
        <v>0</v>
      </c>
      <c r="O95" s="68">
        <f t="shared" si="43"/>
        <v>0</v>
      </c>
      <c r="P95" s="67">
        <v>50000</v>
      </c>
      <c r="Q95" s="68">
        <f t="shared" si="44"/>
        <v>1</v>
      </c>
      <c r="R95" s="67">
        <v>50000</v>
      </c>
      <c r="S95" s="68">
        <f t="shared" si="45"/>
        <v>1</v>
      </c>
      <c r="T95" s="67">
        <v>50000</v>
      </c>
      <c r="U95" s="68">
        <f t="shared" si="46"/>
        <v>1</v>
      </c>
      <c r="V95" s="67">
        <v>0</v>
      </c>
      <c r="W95" s="67">
        <f t="shared" si="48"/>
        <v>0</v>
      </c>
    </row>
    <row r="96" spans="1:23" x14ac:dyDescent="0.25">
      <c r="A96" s="69" t="s">
        <v>97</v>
      </c>
      <c r="B96" s="21">
        <v>111</v>
      </c>
      <c r="C96" s="21" t="s">
        <v>22</v>
      </c>
      <c r="D96" s="22">
        <f>SUM(D74:D95)</f>
        <v>467659.65</v>
      </c>
      <c r="E96" s="22">
        <f>SUM(E74:E95)</f>
        <v>474738.5199999999</v>
      </c>
      <c r="F96" s="22">
        <f>SUM(F74:F95)</f>
        <v>480248</v>
      </c>
      <c r="G96" s="22">
        <f>SUM(G74:G95)</f>
        <v>486713.67</v>
      </c>
      <c r="H96" s="22">
        <f t="shared" ref="H96:N96" si="49">SUM(H73:H95)</f>
        <v>513430</v>
      </c>
      <c r="I96" s="22">
        <f t="shared" si="49"/>
        <v>9498</v>
      </c>
      <c r="J96" s="22">
        <f t="shared" si="49"/>
        <v>700</v>
      </c>
      <c r="K96" s="22">
        <f t="shared" si="49"/>
        <v>50000</v>
      </c>
      <c r="L96" s="22">
        <f t="shared" si="49"/>
        <v>15079</v>
      </c>
      <c r="M96" s="22">
        <f t="shared" si="49"/>
        <v>588707</v>
      </c>
      <c r="N96" s="22">
        <f t="shared" si="49"/>
        <v>138220.44</v>
      </c>
      <c r="O96" s="23">
        <f t="shared" si="43"/>
        <v>0.23478647272751982</v>
      </c>
      <c r="P96" s="22">
        <f>SUM(P73:P95)</f>
        <v>304967.11</v>
      </c>
      <c r="Q96" s="23">
        <f t="shared" si="44"/>
        <v>0.518028679801667</v>
      </c>
      <c r="R96" s="22">
        <f>SUM(R73:R95)</f>
        <v>429028.73000000004</v>
      </c>
      <c r="S96" s="23">
        <f t="shared" si="45"/>
        <v>0.72876444479172153</v>
      </c>
      <c r="T96" s="22">
        <f>SUM(T73:T95)</f>
        <v>565026.47000000009</v>
      </c>
      <c r="U96" s="23">
        <f t="shared" si="46"/>
        <v>0.95977535514271117</v>
      </c>
      <c r="V96" s="22">
        <f>SUM(V74:V95)</f>
        <v>522208</v>
      </c>
      <c r="W96" s="22">
        <f>SUM(W74:W95)</f>
        <v>522208</v>
      </c>
    </row>
    <row r="98" spans="1:23" x14ac:dyDescent="0.25">
      <c r="A98" s="26" t="s">
        <v>98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6"/>
      <c r="Q98" s="27"/>
      <c r="R98" s="26"/>
      <c r="S98" s="27"/>
      <c r="T98" s="26"/>
      <c r="U98" s="27"/>
      <c r="V98" s="26"/>
      <c r="W98" s="26"/>
    </row>
    <row r="99" spans="1:23" x14ac:dyDescent="0.25">
      <c r="A99" s="15"/>
      <c r="B99" s="15"/>
      <c r="C99" s="15"/>
      <c r="D99" s="16" t="s">
        <v>1</v>
      </c>
      <c r="E99" s="16" t="s">
        <v>2</v>
      </c>
      <c r="F99" s="16" t="s">
        <v>3</v>
      </c>
      <c r="G99" s="16" t="s">
        <v>4</v>
      </c>
      <c r="H99" s="16" t="s">
        <v>5</v>
      </c>
      <c r="I99" s="16" t="s">
        <v>6</v>
      </c>
      <c r="J99" s="16" t="s">
        <v>7</v>
      </c>
      <c r="K99" s="16" t="s">
        <v>8</v>
      </c>
      <c r="L99" s="16" t="s">
        <v>9</v>
      </c>
      <c r="M99" s="16" t="s">
        <v>10</v>
      </c>
      <c r="N99" s="16" t="s">
        <v>11</v>
      </c>
      <c r="O99" s="17" t="s">
        <v>12</v>
      </c>
      <c r="P99" s="16" t="s">
        <v>13</v>
      </c>
      <c r="Q99" s="17" t="s">
        <v>14</v>
      </c>
      <c r="R99" s="16" t="s">
        <v>15</v>
      </c>
      <c r="S99" s="17" t="s">
        <v>16</v>
      </c>
      <c r="T99" s="16" t="s">
        <v>17</v>
      </c>
      <c r="U99" s="17" t="s">
        <v>18</v>
      </c>
      <c r="V99" s="16" t="s">
        <v>19</v>
      </c>
      <c r="W99" s="16" t="s">
        <v>20</v>
      </c>
    </row>
    <row r="100" spans="1:23" x14ac:dyDescent="0.25">
      <c r="A100" s="5" t="s">
        <v>21</v>
      </c>
      <c r="B100" s="29">
        <v>131</v>
      </c>
      <c r="C100" s="29" t="s">
        <v>99</v>
      </c>
      <c r="D100" s="30">
        <v>0</v>
      </c>
      <c r="E100" s="30">
        <f>E105</f>
        <v>22382.36</v>
      </c>
      <c r="F100" s="30">
        <f>F105</f>
        <v>17331</v>
      </c>
      <c r="G100" s="30">
        <f>G105</f>
        <v>17330.41</v>
      </c>
      <c r="H100" s="30">
        <v>0</v>
      </c>
      <c r="I100" s="30"/>
      <c r="J100" s="30"/>
      <c r="K100" s="30"/>
      <c r="L100" s="30"/>
      <c r="M100" s="30">
        <f>H100+SUM(I100:L100)</f>
        <v>0</v>
      </c>
      <c r="N100" s="30">
        <f>N105</f>
        <v>3513.02</v>
      </c>
      <c r="O100" s="31" t="e">
        <f>N100/$M100</f>
        <v>#DIV/0!</v>
      </c>
      <c r="P100" s="30">
        <f>P105</f>
        <v>3513.02</v>
      </c>
      <c r="Q100" s="31" t="e">
        <f>P100/$M100</f>
        <v>#DIV/0!</v>
      </c>
      <c r="R100" s="30">
        <f>R105</f>
        <v>3513.02</v>
      </c>
      <c r="S100" s="31" t="e">
        <f>R100/$M100</f>
        <v>#DIV/0!</v>
      </c>
      <c r="T100" s="30">
        <v>3513.02</v>
      </c>
      <c r="U100" s="31" t="e">
        <f>T100/$M100</f>
        <v>#DIV/0!</v>
      </c>
      <c r="V100" s="30">
        <v>0</v>
      </c>
      <c r="W100" s="30">
        <v>0</v>
      </c>
    </row>
    <row r="101" spans="1:23" x14ac:dyDescent="0.25">
      <c r="A101" s="5"/>
      <c r="B101" s="29">
        <v>41</v>
      </c>
      <c r="C101" s="29" t="s">
        <v>23</v>
      </c>
      <c r="D101" s="30">
        <f>D106+D109</f>
        <v>2312.21</v>
      </c>
      <c r="E101" s="30">
        <f>E106</f>
        <v>3387.31</v>
      </c>
      <c r="F101" s="30">
        <f>F106+F107</f>
        <v>12907</v>
      </c>
      <c r="G101" s="30">
        <f>G106</f>
        <v>12173.51</v>
      </c>
      <c r="H101" s="30">
        <f>H106</f>
        <v>182899</v>
      </c>
      <c r="I101" s="30"/>
      <c r="J101" s="30"/>
      <c r="K101" s="30"/>
      <c r="L101" s="30">
        <v>1844</v>
      </c>
      <c r="M101" s="30">
        <f>H101+SUM(I101:L101)</f>
        <v>184743</v>
      </c>
      <c r="N101" s="30">
        <f>N106+N107</f>
        <v>206590.62</v>
      </c>
      <c r="O101" s="31">
        <f>N101/$M101</f>
        <v>1.1182595281012</v>
      </c>
      <c r="P101" s="30">
        <f>P106+P107</f>
        <v>206590.62</v>
      </c>
      <c r="Q101" s="31">
        <f>P101/$M101</f>
        <v>1.1182595281012</v>
      </c>
      <c r="R101" s="30">
        <f>R106+R107</f>
        <v>206590.62</v>
      </c>
      <c r="S101" s="31">
        <f>R101/$M101</f>
        <v>1.1182595281012</v>
      </c>
      <c r="T101" s="30">
        <v>206590.62</v>
      </c>
      <c r="U101" s="31">
        <f>T101/$M101</f>
        <v>1.1182595281012</v>
      </c>
      <c r="V101" s="30">
        <v>0</v>
      </c>
      <c r="W101" s="30">
        <v>0</v>
      </c>
    </row>
    <row r="102" spans="1:23" x14ac:dyDescent="0.25">
      <c r="A102" s="5"/>
      <c r="B102" s="29">
        <v>52</v>
      </c>
      <c r="C102" s="29" t="s">
        <v>26</v>
      </c>
      <c r="D102" s="30">
        <v>34488.01</v>
      </c>
      <c r="E102" s="30">
        <v>0</v>
      </c>
      <c r="F102" s="30">
        <v>0</v>
      </c>
      <c r="G102" s="30">
        <v>0</v>
      </c>
      <c r="H102" s="30">
        <v>0</v>
      </c>
      <c r="I102" s="30"/>
      <c r="J102" s="30"/>
      <c r="K102" s="30"/>
      <c r="L102" s="30"/>
      <c r="M102" s="30">
        <f>H102+SUM(I102:L102)</f>
        <v>0</v>
      </c>
      <c r="N102" s="30">
        <v>0</v>
      </c>
      <c r="O102" s="31" t="e">
        <f>N102/$M102</f>
        <v>#DIV/0!</v>
      </c>
      <c r="P102" s="30">
        <v>0</v>
      </c>
      <c r="Q102" s="31" t="e">
        <f>P102/$M102</f>
        <v>#DIV/0!</v>
      </c>
      <c r="R102" s="30">
        <v>0</v>
      </c>
      <c r="S102" s="31" t="e">
        <f>R102/$M102</f>
        <v>#DIV/0!</v>
      </c>
      <c r="T102" s="30">
        <v>0</v>
      </c>
      <c r="U102" s="31" t="e">
        <f>T102/$M102</f>
        <v>#DIV/0!</v>
      </c>
      <c r="V102" s="30">
        <v>0</v>
      </c>
      <c r="W102" s="30">
        <v>0</v>
      </c>
    </row>
    <row r="103" spans="1:23" x14ac:dyDescent="0.25">
      <c r="A103" s="24"/>
      <c r="B103" s="25"/>
      <c r="C103" s="32" t="s">
        <v>31</v>
      </c>
      <c r="D103" s="33">
        <f t="shared" ref="D103:N103" si="50">SUM(D100:D102)</f>
        <v>36800.22</v>
      </c>
      <c r="E103" s="33">
        <f t="shared" si="50"/>
        <v>25769.670000000002</v>
      </c>
      <c r="F103" s="33">
        <f t="shared" si="50"/>
        <v>30238</v>
      </c>
      <c r="G103" s="33">
        <f t="shared" si="50"/>
        <v>29503.919999999998</v>
      </c>
      <c r="H103" s="33">
        <f t="shared" si="50"/>
        <v>182899</v>
      </c>
      <c r="I103" s="33">
        <f t="shared" si="50"/>
        <v>0</v>
      </c>
      <c r="J103" s="33">
        <f t="shared" si="50"/>
        <v>0</v>
      </c>
      <c r="K103" s="33">
        <f t="shared" si="50"/>
        <v>0</v>
      </c>
      <c r="L103" s="33">
        <f t="shared" si="50"/>
        <v>1844</v>
      </c>
      <c r="M103" s="33">
        <f t="shared" si="50"/>
        <v>184743</v>
      </c>
      <c r="N103" s="33">
        <f t="shared" si="50"/>
        <v>210103.63999999998</v>
      </c>
      <c r="O103" s="34">
        <f>N103/$M103</f>
        <v>1.1372752418224235</v>
      </c>
      <c r="P103" s="33">
        <f>SUM(P100:P102)</f>
        <v>210103.63999999998</v>
      </c>
      <c r="Q103" s="34">
        <f>P103/$M103</f>
        <v>1.1372752418224235</v>
      </c>
      <c r="R103" s="33">
        <f>SUM(R100:R102)</f>
        <v>210103.63999999998</v>
      </c>
      <c r="S103" s="34">
        <f>R103/$M103</f>
        <v>1.1372752418224235</v>
      </c>
      <c r="T103" s="33">
        <f>SUM(T100:T102)</f>
        <v>210103.63999999998</v>
      </c>
      <c r="U103" s="34">
        <f>T103/$M103</f>
        <v>1.1372752418224235</v>
      </c>
      <c r="V103" s="33">
        <f>SUM(V100:V102)</f>
        <v>0</v>
      </c>
      <c r="W103" s="33">
        <f>SUM(W100:W102)</f>
        <v>0</v>
      </c>
    </row>
    <row r="105" spans="1:23" x14ac:dyDescent="0.25">
      <c r="B105" s="44" t="s">
        <v>57</v>
      </c>
      <c r="C105" s="24" t="s">
        <v>100</v>
      </c>
      <c r="D105" s="45"/>
      <c r="E105" s="45">
        <v>22382.36</v>
      </c>
      <c r="F105" s="45">
        <v>17331</v>
      </c>
      <c r="G105" s="45">
        <v>17330.41</v>
      </c>
      <c r="H105" s="45"/>
      <c r="I105" s="45"/>
      <c r="J105" s="45"/>
      <c r="K105" s="45"/>
      <c r="L105" s="45"/>
      <c r="M105" s="45">
        <f>H105+SUM(I105:L105)</f>
        <v>0</v>
      </c>
      <c r="N105" s="45">
        <v>3513.02</v>
      </c>
      <c r="O105" s="46" t="e">
        <f>N105/$M105</f>
        <v>#DIV/0!</v>
      </c>
      <c r="P105" s="45">
        <v>3513.02</v>
      </c>
      <c r="Q105" s="46" t="e">
        <f>P105/$M105</f>
        <v>#DIV/0!</v>
      </c>
      <c r="R105" s="45">
        <v>3513.02</v>
      </c>
      <c r="S105" s="46" t="e">
        <f>R105/$M105</f>
        <v>#DIV/0!</v>
      </c>
      <c r="T105" s="45">
        <v>3513.02</v>
      </c>
      <c r="U105" s="47" t="e">
        <f>T105/$M105</f>
        <v>#DIV/0!</v>
      </c>
      <c r="V105" s="45"/>
      <c r="W105" s="48"/>
    </row>
    <row r="106" spans="1:23" x14ac:dyDescent="0.25">
      <c r="B106" s="49"/>
      <c r="C106" s="10" t="s">
        <v>101</v>
      </c>
      <c r="D106" s="51">
        <v>1944.21</v>
      </c>
      <c r="E106" s="51">
        <v>3387.31</v>
      </c>
      <c r="F106" s="51">
        <v>12173</v>
      </c>
      <c r="G106" s="51">
        <v>12173.51</v>
      </c>
      <c r="H106" s="51">
        <v>182899</v>
      </c>
      <c r="I106" s="51"/>
      <c r="J106" s="51"/>
      <c r="K106" s="51"/>
      <c r="L106" s="51">
        <v>1844</v>
      </c>
      <c r="M106" s="51">
        <f>H106+SUM(I106:L106)</f>
        <v>184743</v>
      </c>
      <c r="N106" s="51">
        <v>199703.57</v>
      </c>
      <c r="O106" s="11">
        <f>N106/$M106</f>
        <v>1.0809804431020391</v>
      </c>
      <c r="P106" s="51">
        <v>199703.57</v>
      </c>
      <c r="Q106" s="11">
        <f>P106/$M106</f>
        <v>1.0809804431020391</v>
      </c>
      <c r="R106" s="51">
        <v>199703.57</v>
      </c>
      <c r="S106" s="11">
        <f>R106/$M106</f>
        <v>1.0809804431020391</v>
      </c>
      <c r="T106" s="51">
        <v>199703.57</v>
      </c>
      <c r="U106" s="52">
        <f>T106/$M106</f>
        <v>1.0809804431020391</v>
      </c>
      <c r="V106" s="51"/>
      <c r="W106" s="53"/>
    </row>
    <row r="107" spans="1:23" x14ac:dyDescent="0.25">
      <c r="B107" s="49"/>
      <c r="C107" s="50" t="s">
        <v>102</v>
      </c>
      <c r="D107" s="51">
        <v>0</v>
      </c>
      <c r="E107" s="51"/>
      <c r="F107" s="51">
        <v>734</v>
      </c>
      <c r="G107" s="51"/>
      <c r="H107" s="51"/>
      <c r="I107" s="51"/>
      <c r="J107" s="51"/>
      <c r="K107" s="51"/>
      <c r="L107" s="51"/>
      <c r="M107" s="51">
        <f>H107+SUM(I107:L107)</f>
        <v>0</v>
      </c>
      <c r="N107" s="51">
        <v>6887.05</v>
      </c>
      <c r="O107" s="11" t="e">
        <f>N107/$M107</f>
        <v>#DIV/0!</v>
      </c>
      <c r="P107" s="51">
        <v>6887.05</v>
      </c>
      <c r="Q107" s="11" t="e">
        <f>P107/$M107</f>
        <v>#DIV/0!</v>
      </c>
      <c r="R107" s="51">
        <v>6887.05</v>
      </c>
      <c r="S107" s="11" t="e">
        <f>R107/$M107</f>
        <v>#DIV/0!</v>
      </c>
      <c r="T107" s="51">
        <v>6887.05</v>
      </c>
      <c r="U107" s="52" t="e">
        <f>T107/$M107</f>
        <v>#DIV/0!</v>
      </c>
      <c r="V107" s="51"/>
      <c r="W107" s="53"/>
    </row>
    <row r="108" spans="1:23" x14ac:dyDescent="0.25">
      <c r="B108" s="49"/>
      <c r="C108" s="50" t="s">
        <v>103</v>
      </c>
      <c r="D108" s="51">
        <v>34488.01</v>
      </c>
      <c r="E108" s="51"/>
      <c r="F108" s="51"/>
      <c r="G108" s="51"/>
      <c r="H108" s="51"/>
      <c r="I108" s="51"/>
      <c r="J108" s="51"/>
      <c r="K108" s="51"/>
      <c r="L108" s="51"/>
      <c r="M108" s="51">
        <f>H108+SUM(I108:L108)</f>
        <v>0</v>
      </c>
      <c r="N108" s="51"/>
      <c r="O108" s="11" t="e">
        <f>N108/$M108</f>
        <v>#DIV/0!</v>
      </c>
      <c r="P108" s="51"/>
      <c r="Q108" s="11" t="e">
        <f>P108/$M108</f>
        <v>#DIV/0!</v>
      </c>
      <c r="R108" s="51"/>
      <c r="S108" s="11" t="e">
        <f>R108/$M108</f>
        <v>#DIV/0!</v>
      </c>
      <c r="T108" s="51"/>
      <c r="U108" s="52" t="e">
        <f>T108/$M108</f>
        <v>#DIV/0!</v>
      </c>
      <c r="V108" s="51"/>
      <c r="W108" s="53"/>
    </row>
    <row r="109" spans="1:23" x14ac:dyDescent="0.25">
      <c r="B109" s="57"/>
      <c r="C109" s="70" t="s">
        <v>104</v>
      </c>
      <c r="D109" s="59">
        <v>368</v>
      </c>
      <c r="E109" s="59"/>
      <c r="F109" s="59"/>
      <c r="G109" s="59"/>
      <c r="H109" s="59"/>
      <c r="I109" s="59"/>
      <c r="J109" s="59"/>
      <c r="K109" s="59"/>
      <c r="L109" s="59"/>
      <c r="M109" s="59">
        <f>H109+SUM(I109:L109)</f>
        <v>0</v>
      </c>
      <c r="N109" s="59"/>
      <c r="O109" s="60" t="e">
        <f>N109/$M109</f>
        <v>#DIV/0!</v>
      </c>
      <c r="P109" s="59"/>
      <c r="Q109" s="60" t="e">
        <f>P109/$M109</f>
        <v>#DIV/0!</v>
      </c>
      <c r="R109" s="59"/>
      <c r="S109" s="60" t="e">
        <f>R109/$M109</f>
        <v>#DIV/0!</v>
      </c>
      <c r="T109" s="59"/>
      <c r="U109" s="61" t="e">
        <f>T109/$M109</f>
        <v>#DIV/0!</v>
      </c>
      <c r="V109" s="59"/>
      <c r="W109" s="62"/>
    </row>
    <row r="111" spans="1:23" x14ac:dyDescent="0.25">
      <c r="A111" s="26" t="s">
        <v>105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  <c r="P111" s="26"/>
      <c r="Q111" s="27"/>
      <c r="R111" s="26"/>
      <c r="S111" s="27"/>
      <c r="T111" s="26"/>
      <c r="U111" s="27"/>
      <c r="V111" s="26"/>
      <c r="W111" s="26"/>
    </row>
    <row r="112" spans="1:23" x14ac:dyDescent="0.25">
      <c r="A112" s="15"/>
      <c r="B112" s="15"/>
      <c r="C112" s="15"/>
      <c r="D112" s="16" t="s">
        <v>1</v>
      </c>
      <c r="E112" s="16" t="s">
        <v>2</v>
      </c>
      <c r="F112" s="16" t="s">
        <v>3</v>
      </c>
      <c r="G112" s="16" t="s">
        <v>4</v>
      </c>
      <c r="H112" s="16" t="s">
        <v>5</v>
      </c>
      <c r="I112" s="16" t="s">
        <v>6</v>
      </c>
      <c r="J112" s="16" t="s">
        <v>7</v>
      </c>
      <c r="K112" s="16" t="s">
        <v>8</v>
      </c>
      <c r="L112" s="16" t="s">
        <v>9</v>
      </c>
      <c r="M112" s="16" t="s">
        <v>10</v>
      </c>
      <c r="N112" s="16" t="s">
        <v>11</v>
      </c>
      <c r="O112" s="17" t="s">
        <v>12</v>
      </c>
      <c r="P112" s="16" t="s">
        <v>13</v>
      </c>
      <c r="Q112" s="17" t="s">
        <v>14</v>
      </c>
      <c r="R112" s="16" t="s">
        <v>15</v>
      </c>
      <c r="S112" s="17" t="s">
        <v>16</v>
      </c>
      <c r="T112" s="16" t="s">
        <v>17</v>
      </c>
      <c r="U112" s="17" t="s">
        <v>18</v>
      </c>
      <c r="V112" s="16" t="s">
        <v>19</v>
      </c>
      <c r="W112" s="16" t="s">
        <v>20</v>
      </c>
    </row>
    <row r="113" spans="4:23" x14ac:dyDescent="0.25">
      <c r="D113" s="30">
        <f>D16-výdaje!G15</f>
        <v>36428.580000000075</v>
      </c>
      <c r="E113" s="30">
        <f>E16-výdaje!H15</f>
        <v>38850.810000000056</v>
      </c>
      <c r="F113" s="30">
        <f>F16-výdaje!I15</f>
        <v>0</v>
      </c>
      <c r="G113" s="30">
        <f>G16-výdaje!J15</f>
        <v>207991.63999999966</v>
      </c>
      <c r="H113" s="30">
        <f>H16-výdaje!K15</f>
        <v>54330</v>
      </c>
      <c r="I113" s="30">
        <f>I16-výdaje!L15</f>
        <v>1324</v>
      </c>
      <c r="J113" s="30">
        <f>J16-výdaje!M15</f>
        <v>-70769.22</v>
      </c>
      <c r="K113" s="30">
        <f>K16-výdaje!N15</f>
        <v>15115.220000000001</v>
      </c>
      <c r="L113" s="30">
        <f>L16-výdaje!O15</f>
        <v>-9355.27</v>
      </c>
      <c r="M113" s="30">
        <f>M16-výdaje!P15</f>
        <v>-9355.2700000000186</v>
      </c>
      <c r="N113" s="30">
        <f>N16-výdaje!Q15</f>
        <v>418693.07999999996</v>
      </c>
      <c r="O113" s="31">
        <f>N113/$M113</f>
        <v>-44.754783132929262</v>
      </c>
      <c r="P113" s="30">
        <f>P16-výdaje!S15</f>
        <v>403647.11</v>
      </c>
      <c r="Q113" s="31">
        <f>P113/$M113</f>
        <v>-43.146494970214562</v>
      </c>
      <c r="R113" s="30">
        <f>R16-výdaje!U15</f>
        <v>443743.11999999988</v>
      </c>
      <c r="S113" s="31">
        <f>R113/$M113</f>
        <v>-47.432422581069176</v>
      </c>
      <c r="T113" s="30">
        <f>T16-výdaje!W15</f>
        <v>256508.83000000031</v>
      </c>
      <c r="U113" s="31">
        <f>T113/$M113</f>
        <v>-27.41864531969679</v>
      </c>
      <c r="V113" s="30">
        <f>V16-výdaje!Y15</f>
        <v>-13061</v>
      </c>
      <c r="W113" s="30">
        <f>W16-výdaje!Z15</f>
        <v>-13061</v>
      </c>
    </row>
  </sheetData>
  <mergeCells count="5">
    <mergeCell ref="A3:A15"/>
    <mergeCell ref="A25:A33"/>
    <mergeCell ref="A43:A48"/>
    <mergeCell ref="A73:A95"/>
    <mergeCell ref="A100:A102"/>
  </mergeCells>
  <pageMargins left="0.66944444444444395" right="0.66944444444444395" top="0.43888888888888899" bottom="0.43888888888888899" header="0.3" footer="0.3"/>
  <pageSetup paperSize="9" scale="72" firstPageNumber="0" orientation="portrait" horizontalDpi="300" verticalDpi="300"/>
  <headerFooter>
    <oddHeader>&amp;L&amp;"Arial,Normálne"&amp;10Čerpanie a plnenie rozpočtu 2016&amp;C&amp;"Arial,Normálne"&amp;10Obec Nesluša&amp;R&amp;"Arial,Normálne"&amp;10Stav k 31. 12. 2016</oddHeader>
    <oddFooter>&amp;L&amp;"Arial,Normálne"&amp;10Schválený: UOZ_VIII-13/2015, 28. 12. 2015&amp;R&amp;"Arial,Normálne"&amp;10Posledná úprava: UOZ_IV-4/2016, 16. 12. 2016</oddFooter>
  </headerFooter>
  <rowBreaks count="4" manualBreakCount="4">
    <brk id="17" max="16383" man="1"/>
    <brk id="35" max="16383" man="1"/>
    <brk id="65" max="16383" man="1"/>
    <brk id="97" max="16383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559"/>
  <sheetViews>
    <sheetView topLeftCell="D1" zoomScaleNormal="100" workbookViewId="0">
      <selection activeCell="D1" sqref="D1"/>
    </sheetView>
  </sheetViews>
  <sheetFormatPr defaultRowHeight="15" x14ac:dyDescent="0.25"/>
  <cols>
    <col min="1" max="1" width="2.7109375" style="10" hidden="1" customWidth="1"/>
    <col min="2" max="2" width="3.140625" style="10" hidden="1" customWidth="1"/>
    <col min="3" max="3" width="3" style="10" hidden="1" customWidth="1"/>
    <col min="4" max="4" width="11.5703125" style="10" customWidth="1"/>
    <col min="5" max="5" width="8.5703125" style="10" customWidth="1"/>
    <col min="6" max="6" width="18.140625" style="10" customWidth="1"/>
    <col min="7" max="10" width="10.85546875" style="10" hidden="1" customWidth="1"/>
    <col min="11" max="11" width="11.42578125" style="10" bestFit="1" customWidth="1"/>
    <col min="12" max="15" width="10.85546875" style="10" hidden="1" customWidth="1"/>
    <col min="16" max="16" width="11.42578125" style="10" bestFit="1" customWidth="1"/>
    <col min="17" max="17" width="11" style="10" customWidth="1"/>
    <col min="18" max="18" width="5.140625" style="11" customWidth="1"/>
    <col min="19" max="19" width="11" style="10" customWidth="1"/>
    <col min="20" max="20" width="5.28515625" style="11" customWidth="1"/>
    <col min="21" max="21" width="11" style="10" customWidth="1"/>
    <col min="22" max="22" width="5.28515625" style="11" customWidth="1"/>
    <col min="23" max="23" width="11.42578125" style="10" bestFit="1" customWidth="1"/>
    <col min="24" max="24" width="5.5703125" style="11" customWidth="1"/>
    <col min="25" max="26" width="10.85546875" style="10" hidden="1" customWidth="1"/>
    <col min="27" max="1025" width="8.5703125" style="10" customWidth="1"/>
  </cols>
  <sheetData>
    <row r="1" spans="1:26" x14ac:dyDescent="0.25">
      <c r="A1" s="10" t="s">
        <v>106</v>
      </c>
      <c r="B1" s="10" t="s">
        <v>107</v>
      </c>
      <c r="C1" s="10" t="s">
        <v>108</v>
      </c>
      <c r="D1" s="12" t="s">
        <v>109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3"/>
      <c r="T1" s="14"/>
      <c r="U1" s="13"/>
      <c r="V1" s="14"/>
      <c r="W1" s="13"/>
      <c r="X1" s="14"/>
      <c r="Y1" s="13"/>
      <c r="Z1" s="13"/>
    </row>
    <row r="2" spans="1:26" x14ac:dyDescent="0.25">
      <c r="D2" s="15"/>
      <c r="E2" s="15"/>
      <c r="F2" s="15"/>
      <c r="G2" s="16" t="s">
        <v>1</v>
      </c>
      <c r="H2" s="16" t="s">
        <v>2</v>
      </c>
      <c r="I2" s="16" t="s">
        <v>3</v>
      </c>
      <c r="J2" s="16" t="s">
        <v>4</v>
      </c>
      <c r="K2" s="16" t="s">
        <v>5</v>
      </c>
      <c r="L2" s="16" t="s">
        <v>6</v>
      </c>
      <c r="M2" s="16" t="s">
        <v>7</v>
      </c>
      <c r="N2" s="16" t="s">
        <v>8</v>
      </c>
      <c r="O2" s="16" t="s">
        <v>9</v>
      </c>
      <c r="P2" s="16" t="s">
        <v>10</v>
      </c>
      <c r="Q2" s="16" t="s">
        <v>11</v>
      </c>
      <c r="R2" s="17" t="s">
        <v>12</v>
      </c>
      <c r="S2" s="16" t="s">
        <v>13</v>
      </c>
      <c r="T2" s="17" t="s">
        <v>14</v>
      </c>
      <c r="U2" s="16" t="s">
        <v>15</v>
      </c>
      <c r="V2" s="17" t="s">
        <v>16</v>
      </c>
      <c r="W2" s="16" t="s">
        <v>17</v>
      </c>
      <c r="X2" s="17" t="s">
        <v>18</v>
      </c>
      <c r="Y2" s="16" t="s">
        <v>19</v>
      </c>
      <c r="Z2" s="16" t="s">
        <v>20</v>
      </c>
    </row>
    <row r="3" spans="1:26" ht="13.9" customHeight="1" x14ac:dyDescent="0.25">
      <c r="D3" s="9" t="s">
        <v>21</v>
      </c>
      <c r="E3" s="18">
        <v>111</v>
      </c>
      <c r="F3" s="18" t="s">
        <v>22</v>
      </c>
      <c r="G3" s="19">
        <f t="shared" ref="G3:O3" si="0">G19+G127+G222+G385</f>
        <v>464739.23000000004</v>
      </c>
      <c r="H3" s="19">
        <f t="shared" si="0"/>
        <v>482576.37</v>
      </c>
      <c r="I3" s="19">
        <f t="shared" si="0"/>
        <v>484806</v>
      </c>
      <c r="J3" s="19">
        <f t="shared" si="0"/>
        <v>488245.51000000007</v>
      </c>
      <c r="K3" s="19">
        <f t="shared" si="0"/>
        <v>507598</v>
      </c>
      <c r="L3" s="19">
        <f t="shared" si="0"/>
        <v>3459</v>
      </c>
      <c r="M3" s="19">
        <f t="shared" si="0"/>
        <v>0</v>
      </c>
      <c r="N3" s="19">
        <f t="shared" si="0"/>
        <v>-4738</v>
      </c>
      <c r="O3" s="19">
        <f t="shared" si="0"/>
        <v>6143</v>
      </c>
      <c r="P3" s="19">
        <f>K3+SUM(L3:O3)</f>
        <v>512462</v>
      </c>
      <c r="Q3" s="19">
        <f>Q19+Q127+Q222+Q385</f>
        <v>70042.59</v>
      </c>
      <c r="R3" s="20">
        <f t="shared" ref="R3:R15" si="1">Q3/$P3</f>
        <v>0.13667860251101543</v>
      </c>
      <c r="S3" s="19">
        <f>S19+S127+S222+S385</f>
        <v>207962.4</v>
      </c>
      <c r="T3" s="20">
        <f t="shared" ref="T3:T15" si="2">S3/$P3</f>
        <v>0.40581038203808284</v>
      </c>
      <c r="U3" s="19">
        <f>U19+U127+U222+U385</f>
        <v>319557.39999999997</v>
      </c>
      <c r="V3" s="20">
        <f t="shared" ref="V3:V15" si="3">U3/$P3</f>
        <v>0.62357286979327242</v>
      </c>
      <c r="W3" s="19">
        <f>W19+W127+W222+W385</f>
        <v>513860.56999999995</v>
      </c>
      <c r="X3" s="20">
        <f t="shared" ref="X3:X15" si="4">W3/$P3</f>
        <v>1.0027291194273915</v>
      </c>
      <c r="Y3" s="19">
        <f>Y19+Y127+Y222+Y385</f>
        <v>525708</v>
      </c>
      <c r="Z3" s="19">
        <f>Z19+Z127+Z222+Z385</f>
        <v>525708</v>
      </c>
    </row>
    <row r="4" spans="1:26" x14ac:dyDescent="0.25">
      <c r="D4" s="9"/>
      <c r="E4" s="18">
        <v>41</v>
      </c>
      <c r="F4" s="18" t="s">
        <v>23</v>
      </c>
      <c r="G4" s="19">
        <f t="shared" ref="G4:M4" si="5">G20+G128+G171+G194+G223+G300+G386+G557</f>
        <v>682807.28999999992</v>
      </c>
      <c r="H4" s="19">
        <f t="shared" si="5"/>
        <v>735831.40999999992</v>
      </c>
      <c r="I4" s="19">
        <f t="shared" si="5"/>
        <v>693876</v>
      </c>
      <c r="J4" s="19">
        <f t="shared" si="5"/>
        <v>681453.7</v>
      </c>
      <c r="K4" s="19">
        <f t="shared" si="5"/>
        <v>724731</v>
      </c>
      <c r="L4" s="19">
        <f t="shared" si="5"/>
        <v>7914</v>
      </c>
      <c r="M4" s="19">
        <f t="shared" si="5"/>
        <v>2729</v>
      </c>
      <c r="N4" s="19">
        <f>N20+N128+N171+N194+N223+N300+N386+N555</f>
        <v>23693</v>
      </c>
      <c r="O4" s="19">
        <f>O20+O128+O171+O194+O223+O300+O386+O557</f>
        <v>22008</v>
      </c>
      <c r="P4" s="19">
        <f>K4+SUM(L4:O4)</f>
        <v>781075</v>
      </c>
      <c r="Q4" s="19">
        <f>Q20+Q128+Q171+Q194+Q223+Q300+Q386+Q557</f>
        <v>139418.38</v>
      </c>
      <c r="R4" s="20">
        <f t="shared" si="1"/>
        <v>0.17849550939410427</v>
      </c>
      <c r="S4" s="19">
        <f>S20+S128+S171+S194+S223+S300+S386+S557</f>
        <v>346252.61000000004</v>
      </c>
      <c r="T4" s="20">
        <f t="shared" si="2"/>
        <v>0.44330264059149255</v>
      </c>
      <c r="U4" s="19">
        <f>U20+U128+U171+U194+U223+U300+U386+U557</f>
        <v>503008.36000000004</v>
      </c>
      <c r="V4" s="20">
        <f t="shared" si="3"/>
        <v>0.64399495567007015</v>
      </c>
      <c r="W4" s="19">
        <f>W20+W128+W171+W194+W223+W300+W386+W557</f>
        <v>692801.23</v>
      </c>
      <c r="X4" s="20">
        <f t="shared" si="4"/>
        <v>0.8869842588739878</v>
      </c>
      <c r="Y4" s="19">
        <f>Y20+Y128+Y171+Y194+Y223+Y300+Y386+Y557</f>
        <v>709868</v>
      </c>
      <c r="Z4" s="19">
        <f>Z20+Z128+Z171+Z194+Z223+Z300+Z386+Z557</f>
        <v>722089</v>
      </c>
    </row>
    <row r="5" spans="1:26" x14ac:dyDescent="0.25">
      <c r="D5" s="9"/>
      <c r="E5" s="18"/>
      <c r="F5" s="21" t="s">
        <v>110</v>
      </c>
      <c r="G5" s="22">
        <f t="shared" ref="G5:Q5" si="6">SUM(G3:G4)</f>
        <v>1147546.52</v>
      </c>
      <c r="H5" s="22">
        <f t="shared" si="6"/>
        <v>1218407.7799999998</v>
      </c>
      <c r="I5" s="22">
        <f t="shared" si="6"/>
        <v>1178682</v>
      </c>
      <c r="J5" s="22">
        <f t="shared" si="6"/>
        <v>1169699.21</v>
      </c>
      <c r="K5" s="22">
        <f t="shared" si="6"/>
        <v>1232329</v>
      </c>
      <c r="L5" s="22">
        <f t="shared" si="6"/>
        <v>11373</v>
      </c>
      <c r="M5" s="22">
        <f t="shared" si="6"/>
        <v>2729</v>
      </c>
      <c r="N5" s="22">
        <f t="shared" si="6"/>
        <v>18955</v>
      </c>
      <c r="O5" s="22">
        <f t="shared" si="6"/>
        <v>28151</v>
      </c>
      <c r="P5" s="22">
        <f t="shared" si="6"/>
        <v>1293537</v>
      </c>
      <c r="Q5" s="22">
        <f t="shared" si="6"/>
        <v>209460.97</v>
      </c>
      <c r="R5" s="23">
        <f t="shared" si="1"/>
        <v>0.16192885862561335</v>
      </c>
      <c r="S5" s="22">
        <f>SUM(S3:S4)</f>
        <v>554215.01</v>
      </c>
      <c r="T5" s="23">
        <f t="shared" si="2"/>
        <v>0.42844929058851816</v>
      </c>
      <c r="U5" s="22">
        <f>SUM(U3:U4)</f>
        <v>822565.76</v>
      </c>
      <c r="V5" s="23">
        <f t="shared" si="3"/>
        <v>0.63590431506791067</v>
      </c>
      <c r="W5" s="22">
        <f>SUM(W3:W4)</f>
        <v>1206661.7999999998</v>
      </c>
      <c r="X5" s="23">
        <f t="shared" si="4"/>
        <v>0.9328390297301119</v>
      </c>
      <c r="Y5" s="22">
        <f>SUM(Y3:Y4)</f>
        <v>1235576</v>
      </c>
      <c r="Z5" s="22">
        <f>SUM(Z3:Z4)</f>
        <v>1247797</v>
      </c>
    </row>
    <row r="6" spans="1:26" x14ac:dyDescent="0.25">
      <c r="D6" s="9"/>
      <c r="E6" s="18">
        <v>111</v>
      </c>
      <c r="F6" s="18" t="s">
        <v>22</v>
      </c>
      <c r="G6" s="19">
        <f t="shared" ref="G6:O6" si="7">G442</f>
        <v>3000</v>
      </c>
      <c r="H6" s="19">
        <f t="shared" si="7"/>
        <v>0</v>
      </c>
      <c r="I6" s="19">
        <f t="shared" si="7"/>
        <v>12426</v>
      </c>
      <c r="J6" s="19">
        <f t="shared" si="7"/>
        <v>10000</v>
      </c>
      <c r="K6" s="19">
        <f t="shared" si="7"/>
        <v>0</v>
      </c>
      <c r="L6" s="19">
        <f t="shared" si="7"/>
        <v>0</v>
      </c>
      <c r="M6" s="19">
        <f t="shared" si="7"/>
        <v>0</v>
      </c>
      <c r="N6" s="19">
        <f t="shared" si="7"/>
        <v>50000</v>
      </c>
      <c r="O6" s="19">
        <f t="shared" si="7"/>
        <v>0</v>
      </c>
      <c r="P6" s="19">
        <f>K6+SUM(L6:O6)</f>
        <v>50000</v>
      </c>
      <c r="Q6" s="19">
        <f>Q442</f>
        <v>0</v>
      </c>
      <c r="R6" s="20">
        <f t="shared" si="1"/>
        <v>0</v>
      </c>
      <c r="S6" s="19">
        <f>S442</f>
        <v>0</v>
      </c>
      <c r="T6" s="20">
        <f t="shared" si="2"/>
        <v>0</v>
      </c>
      <c r="U6" s="19">
        <f>U442</f>
        <v>37003.120000000003</v>
      </c>
      <c r="V6" s="20">
        <f t="shared" si="3"/>
        <v>0.74006240000000001</v>
      </c>
      <c r="W6" s="19">
        <f>W442</f>
        <v>50000</v>
      </c>
      <c r="X6" s="20">
        <f t="shared" si="4"/>
        <v>1</v>
      </c>
      <c r="Y6" s="19">
        <f t="shared" ref="Y6:Z8" si="8">Y442</f>
        <v>0</v>
      </c>
      <c r="Z6" s="19">
        <f t="shared" si="8"/>
        <v>0</v>
      </c>
    </row>
    <row r="7" spans="1:26" x14ac:dyDescent="0.25">
      <c r="D7" s="9"/>
      <c r="E7" s="18">
        <v>41</v>
      </c>
      <c r="F7" s="18" t="s">
        <v>23</v>
      </c>
      <c r="G7" s="19">
        <f t="shared" ref="G7:O7" si="9">G443</f>
        <v>108893.96</v>
      </c>
      <c r="H7" s="19">
        <f t="shared" si="9"/>
        <v>48692.63</v>
      </c>
      <c r="I7" s="19">
        <f t="shared" si="9"/>
        <v>179913</v>
      </c>
      <c r="J7" s="19">
        <f t="shared" si="9"/>
        <v>17117.079999999998</v>
      </c>
      <c r="K7" s="19">
        <f t="shared" si="9"/>
        <v>360450</v>
      </c>
      <c r="L7" s="19">
        <f t="shared" si="9"/>
        <v>5000</v>
      </c>
      <c r="M7" s="19">
        <f t="shared" si="9"/>
        <v>71469.22</v>
      </c>
      <c r="N7" s="19">
        <f t="shared" si="9"/>
        <v>-24450.22</v>
      </c>
      <c r="O7" s="19">
        <f t="shared" si="9"/>
        <v>0</v>
      </c>
      <c r="P7" s="19">
        <f>K7+SUM(L7:O7)</f>
        <v>412469</v>
      </c>
      <c r="Q7" s="19">
        <f>Q443</f>
        <v>1948</v>
      </c>
      <c r="R7" s="20">
        <f t="shared" si="1"/>
        <v>4.7227791664343263E-3</v>
      </c>
      <c r="S7" s="19">
        <f>S443</f>
        <v>63488.34</v>
      </c>
      <c r="T7" s="20">
        <f t="shared" si="2"/>
        <v>0.15392269479645743</v>
      </c>
      <c r="U7" s="19">
        <f>U443</f>
        <v>94484.94</v>
      </c>
      <c r="V7" s="20">
        <f t="shared" si="3"/>
        <v>0.22907161507895141</v>
      </c>
      <c r="W7" s="19">
        <f>W443</f>
        <v>279817.53000000003</v>
      </c>
      <c r="X7" s="20">
        <f t="shared" si="4"/>
        <v>0.67839650979831223</v>
      </c>
      <c r="Y7" s="19">
        <f t="shared" si="8"/>
        <v>254692</v>
      </c>
      <c r="Z7" s="19">
        <f t="shared" si="8"/>
        <v>242471</v>
      </c>
    </row>
    <row r="8" spans="1:26" x14ac:dyDescent="0.25">
      <c r="D8" s="9"/>
      <c r="E8" s="18">
        <v>52</v>
      </c>
      <c r="F8" s="18" t="s">
        <v>26</v>
      </c>
      <c r="G8" s="19">
        <f t="shared" ref="G8:O8" si="10">G444</f>
        <v>34488</v>
      </c>
      <c r="H8" s="19">
        <f t="shared" si="10"/>
        <v>0</v>
      </c>
      <c r="I8" s="19">
        <f t="shared" si="10"/>
        <v>0</v>
      </c>
      <c r="J8" s="19">
        <f t="shared" si="10"/>
        <v>0</v>
      </c>
      <c r="K8" s="19">
        <f t="shared" si="10"/>
        <v>0</v>
      </c>
      <c r="L8" s="19">
        <f t="shared" si="10"/>
        <v>0</v>
      </c>
      <c r="M8" s="19">
        <f t="shared" si="10"/>
        <v>0</v>
      </c>
      <c r="N8" s="19">
        <f t="shared" si="10"/>
        <v>0</v>
      </c>
      <c r="O8" s="19">
        <f t="shared" si="10"/>
        <v>0</v>
      </c>
      <c r="P8" s="19">
        <f>K8+SUM(L8:O8)</f>
        <v>0</v>
      </c>
      <c r="Q8" s="19">
        <f>Q444</f>
        <v>0</v>
      </c>
      <c r="R8" s="20" t="e">
        <f t="shared" si="1"/>
        <v>#DIV/0!</v>
      </c>
      <c r="S8" s="19">
        <f>S444</f>
        <v>0</v>
      </c>
      <c r="T8" s="20" t="e">
        <f t="shared" si="2"/>
        <v>#DIV/0!</v>
      </c>
      <c r="U8" s="19">
        <f>U444</f>
        <v>0</v>
      </c>
      <c r="V8" s="20" t="e">
        <f t="shared" si="3"/>
        <v>#DIV/0!</v>
      </c>
      <c r="W8" s="19">
        <f>W444</f>
        <v>0</v>
      </c>
      <c r="X8" s="20" t="e">
        <f t="shared" si="4"/>
        <v>#DIV/0!</v>
      </c>
      <c r="Y8" s="19">
        <f t="shared" si="8"/>
        <v>0</v>
      </c>
      <c r="Z8" s="19">
        <f t="shared" si="8"/>
        <v>0</v>
      </c>
    </row>
    <row r="9" spans="1:26" x14ac:dyDescent="0.25">
      <c r="D9" s="9"/>
      <c r="E9" s="18"/>
      <c r="F9" s="21" t="s">
        <v>111</v>
      </c>
      <c r="G9" s="22">
        <f t="shared" ref="G9:Q9" si="11">SUM(G6:G8)</f>
        <v>146381.96000000002</v>
      </c>
      <c r="H9" s="22">
        <f t="shared" si="11"/>
        <v>48692.63</v>
      </c>
      <c r="I9" s="22">
        <f t="shared" si="11"/>
        <v>192339</v>
      </c>
      <c r="J9" s="22">
        <f t="shared" si="11"/>
        <v>27117.079999999998</v>
      </c>
      <c r="K9" s="22">
        <f t="shared" si="11"/>
        <v>360450</v>
      </c>
      <c r="L9" s="22">
        <f t="shared" si="11"/>
        <v>5000</v>
      </c>
      <c r="M9" s="22">
        <f t="shared" si="11"/>
        <v>71469.22</v>
      </c>
      <c r="N9" s="22">
        <f t="shared" si="11"/>
        <v>25549.78</v>
      </c>
      <c r="O9" s="22">
        <f t="shared" si="11"/>
        <v>0</v>
      </c>
      <c r="P9" s="22">
        <f t="shared" si="11"/>
        <v>462469</v>
      </c>
      <c r="Q9" s="22">
        <f t="shared" si="11"/>
        <v>1948</v>
      </c>
      <c r="R9" s="23">
        <f t="shared" si="1"/>
        <v>4.2121742214072727E-3</v>
      </c>
      <c r="S9" s="22">
        <f>SUM(S6:S8)</f>
        <v>63488.34</v>
      </c>
      <c r="T9" s="23">
        <f t="shared" si="2"/>
        <v>0.13728128804309045</v>
      </c>
      <c r="U9" s="22">
        <f>SUM(U6:U8)</f>
        <v>131488.06</v>
      </c>
      <c r="V9" s="23">
        <f t="shared" si="3"/>
        <v>0.28431756506922623</v>
      </c>
      <c r="W9" s="22">
        <f>SUM(W6:W8)</f>
        <v>329817.53000000003</v>
      </c>
      <c r="X9" s="23">
        <f t="shared" si="4"/>
        <v>0.71316678523317245</v>
      </c>
      <c r="Y9" s="22">
        <f>SUM(Y6:Y8)</f>
        <v>254692</v>
      </c>
      <c r="Z9" s="22">
        <f>SUM(Z6:Z8)</f>
        <v>242471</v>
      </c>
    </row>
    <row r="10" spans="1:26" x14ac:dyDescent="0.25">
      <c r="D10" s="9"/>
      <c r="E10" s="18">
        <v>41</v>
      </c>
      <c r="F10" s="18" t="s">
        <v>23</v>
      </c>
      <c r="G10" s="19">
        <f t="shared" ref="G10:O10" si="12">G558</f>
        <v>7015.94</v>
      </c>
      <c r="H10" s="19">
        <f t="shared" si="12"/>
        <v>11205.58</v>
      </c>
      <c r="I10" s="19">
        <f t="shared" si="12"/>
        <v>12054</v>
      </c>
      <c r="J10" s="19">
        <f t="shared" si="12"/>
        <v>12054.31</v>
      </c>
      <c r="K10" s="19">
        <f t="shared" si="12"/>
        <v>4219</v>
      </c>
      <c r="L10" s="19">
        <f t="shared" si="12"/>
        <v>0</v>
      </c>
      <c r="M10" s="19">
        <f t="shared" si="12"/>
        <v>0</v>
      </c>
      <c r="N10" s="19">
        <f t="shared" si="12"/>
        <v>0</v>
      </c>
      <c r="O10" s="19">
        <f t="shared" si="12"/>
        <v>0</v>
      </c>
      <c r="P10" s="19">
        <f>K10+SUM(L10:O10)</f>
        <v>4219</v>
      </c>
      <c r="Q10" s="19">
        <f>Q558</f>
        <v>2096.81</v>
      </c>
      <c r="R10" s="20">
        <f t="shared" si="1"/>
        <v>0.49699217824128938</v>
      </c>
      <c r="S10" s="19">
        <f>S558</f>
        <v>4218.93</v>
      </c>
      <c r="T10" s="20">
        <f t="shared" si="2"/>
        <v>0.99998340839061395</v>
      </c>
      <c r="U10" s="19">
        <f>U558</f>
        <v>4218.93</v>
      </c>
      <c r="V10" s="20">
        <f t="shared" si="3"/>
        <v>0.99998340839061395</v>
      </c>
      <c r="W10" s="19">
        <f>W558</f>
        <v>4218.93</v>
      </c>
      <c r="X10" s="20">
        <f t="shared" si="4"/>
        <v>0.99998340839061395</v>
      </c>
      <c r="Y10" s="19">
        <f>Y558</f>
        <v>0</v>
      </c>
      <c r="Z10" s="19">
        <f>Z558</f>
        <v>0</v>
      </c>
    </row>
    <row r="11" spans="1:26" x14ac:dyDescent="0.25">
      <c r="D11" s="9"/>
      <c r="E11" s="18"/>
      <c r="F11" s="21" t="s">
        <v>27</v>
      </c>
      <c r="G11" s="22">
        <f t="shared" ref="G11:Q11" si="13">SUM(G10)</f>
        <v>7015.94</v>
      </c>
      <c r="H11" s="22">
        <f t="shared" si="13"/>
        <v>11205.58</v>
      </c>
      <c r="I11" s="22">
        <f t="shared" si="13"/>
        <v>12054</v>
      </c>
      <c r="J11" s="22">
        <f t="shared" si="13"/>
        <v>12054.31</v>
      </c>
      <c r="K11" s="22">
        <f t="shared" si="13"/>
        <v>4219</v>
      </c>
      <c r="L11" s="22">
        <f t="shared" si="13"/>
        <v>0</v>
      </c>
      <c r="M11" s="22">
        <f t="shared" si="13"/>
        <v>0</v>
      </c>
      <c r="N11" s="22">
        <f t="shared" si="13"/>
        <v>0</v>
      </c>
      <c r="O11" s="22">
        <f t="shared" si="13"/>
        <v>0</v>
      </c>
      <c r="P11" s="22">
        <f t="shared" si="13"/>
        <v>4219</v>
      </c>
      <c r="Q11" s="22">
        <f t="shared" si="13"/>
        <v>2096.81</v>
      </c>
      <c r="R11" s="23">
        <f t="shared" si="1"/>
        <v>0.49699217824128938</v>
      </c>
      <c r="S11" s="22">
        <f>SUM(S10)</f>
        <v>4218.93</v>
      </c>
      <c r="T11" s="23">
        <f t="shared" si="2"/>
        <v>0.99998340839061395</v>
      </c>
      <c r="U11" s="22">
        <f>SUM(U10)</f>
        <v>4218.93</v>
      </c>
      <c r="V11" s="23">
        <f t="shared" si="3"/>
        <v>0.99998340839061395</v>
      </c>
      <c r="W11" s="22">
        <f>SUM(W10)</f>
        <v>4218.93</v>
      </c>
      <c r="X11" s="23">
        <f t="shared" si="4"/>
        <v>0.99998340839061395</v>
      </c>
      <c r="Y11" s="22">
        <f>SUM(Y10)</f>
        <v>0</v>
      </c>
      <c r="Z11" s="22">
        <f>SUM(Z10)</f>
        <v>0</v>
      </c>
    </row>
    <row r="12" spans="1:26" x14ac:dyDescent="0.25">
      <c r="D12" s="9"/>
      <c r="E12" s="18">
        <v>111</v>
      </c>
      <c r="F12" s="18" t="s">
        <v>22</v>
      </c>
      <c r="G12" s="19">
        <f t="shared" ref="G12:O12" si="14">G3+G6</f>
        <v>467739.23000000004</v>
      </c>
      <c r="H12" s="19">
        <f t="shared" si="14"/>
        <v>482576.37</v>
      </c>
      <c r="I12" s="19">
        <f t="shared" si="14"/>
        <v>497232</v>
      </c>
      <c r="J12" s="19">
        <f t="shared" si="14"/>
        <v>498245.51000000007</v>
      </c>
      <c r="K12" s="19">
        <f t="shared" si="14"/>
        <v>507598</v>
      </c>
      <c r="L12" s="19">
        <f t="shared" si="14"/>
        <v>3459</v>
      </c>
      <c r="M12" s="19">
        <f t="shared" si="14"/>
        <v>0</v>
      </c>
      <c r="N12" s="19">
        <f t="shared" si="14"/>
        <v>45262</v>
      </c>
      <c r="O12" s="19">
        <f t="shared" si="14"/>
        <v>6143</v>
      </c>
      <c r="P12" s="19">
        <f>K12+SUM(L12:O12)</f>
        <v>562462</v>
      </c>
      <c r="Q12" s="19">
        <f>Q3+Q6</f>
        <v>70042.59</v>
      </c>
      <c r="R12" s="20">
        <f t="shared" si="1"/>
        <v>0.12452857259690432</v>
      </c>
      <c r="S12" s="19">
        <f>S3+S6</f>
        <v>207962.4</v>
      </c>
      <c r="T12" s="20">
        <f t="shared" si="2"/>
        <v>0.36973591104821302</v>
      </c>
      <c r="U12" s="19">
        <f>U3+U6</f>
        <v>356560.51999999996</v>
      </c>
      <c r="V12" s="20">
        <f t="shared" si="3"/>
        <v>0.63392819426023439</v>
      </c>
      <c r="W12" s="19">
        <f>W3+W6</f>
        <v>563860.56999999995</v>
      </c>
      <c r="X12" s="20">
        <f t="shared" si="4"/>
        <v>1.0024865146445447</v>
      </c>
      <c r="Y12" s="19">
        <f>Y3+Y6</f>
        <v>525708</v>
      </c>
      <c r="Z12" s="19">
        <f>Z3+Z6</f>
        <v>525708</v>
      </c>
    </row>
    <row r="13" spans="1:26" x14ac:dyDescent="0.25">
      <c r="D13" s="9"/>
      <c r="E13" s="18">
        <v>41</v>
      </c>
      <c r="F13" s="18" t="s">
        <v>23</v>
      </c>
      <c r="G13" s="19">
        <f t="shared" ref="G13:O13" si="15">G4+G7+G10</f>
        <v>798717.18999999983</v>
      </c>
      <c r="H13" s="19">
        <f t="shared" si="15"/>
        <v>795729.61999999988</v>
      </c>
      <c r="I13" s="19">
        <f t="shared" si="15"/>
        <v>885843</v>
      </c>
      <c r="J13" s="19">
        <f t="shared" si="15"/>
        <v>710625.09</v>
      </c>
      <c r="K13" s="19">
        <f t="shared" si="15"/>
        <v>1089400</v>
      </c>
      <c r="L13" s="19">
        <f t="shared" si="15"/>
        <v>12914</v>
      </c>
      <c r="M13" s="19">
        <f t="shared" si="15"/>
        <v>74198.22</v>
      </c>
      <c r="N13" s="19">
        <f t="shared" si="15"/>
        <v>-757.22000000000116</v>
      </c>
      <c r="O13" s="19">
        <f t="shared" si="15"/>
        <v>22008</v>
      </c>
      <c r="P13" s="19">
        <f>K13+SUM(L13:O13)</f>
        <v>1197763</v>
      </c>
      <c r="Q13" s="19">
        <f>Q4+Q7+Q10</f>
        <v>143463.19</v>
      </c>
      <c r="R13" s="20">
        <f t="shared" si="1"/>
        <v>0.11977594064936052</v>
      </c>
      <c r="S13" s="19">
        <f>S4+S7+S10</f>
        <v>413959.88000000006</v>
      </c>
      <c r="T13" s="20">
        <f t="shared" si="2"/>
        <v>0.34561084287960142</v>
      </c>
      <c r="U13" s="19">
        <f>U4+U7+U10</f>
        <v>601712.2300000001</v>
      </c>
      <c r="V13" s="20">
        <f t="shared" si="3"/>
        <v>0.50236334733999977</v>
      </c>
      <c r="W13" s="19">
        <f>W4+W7+W10</f>
        <v>976837.69000000006</v>
      </c>
      <c r="X13" s="20">
        <f t="shared" si="4"/>
        <v>0.81555173268835324</v>
      </c>
      <c r="Y13" s="19">
        <f>Y4+Y7+Y10</f>
        <v>964560</v>
      </c>
      <c r="Z13" s="19">
        <f>Z4+Z7+Z10</f>
        <v>964560</v>
      </c>
    </row>
    <row r="14" spans="1:26" x14ac:dyDescent="0.25">
      <c r="D14" s="9"/>
      <c r="E14" s="18">
        <v>52</v>
      </c>
      <c r="F14" s="18" t="s">
        <v>26</v>
      </c>
      <c r="G14" s="19">
        <f t="shared" ref="G14:O14" si="16">G8</f>
        <v>34488</v>
      </c>
      <c r="H14" s="19">
        <f t="shared" si="16"/>
        <v>0</v>
      </c>
      <c r="I14" s="19">
        <f t="shared" si="16"/>
        <v>0</v>
      </c>
      <c r="J14" s="19">
        <f t="shared" si="16"/>
        <v>0</v>
      </c>
      <c r="K14" s="19">
        <f t="shared" si="16"/>
        <v>0</v>
      </c>
      <c r="L14" s="19">
        <f t="shared" si="16"/>
        <v>0</v>
      </c>
      <c r="M14" s="19">
        <f t="shared" si="16"/>
        <v>0</v>
      </c>
      <c r="N14" s="19">
        <f t="shared" si="16"/>
        <v>0</v>
      </c>
      <c r="O14" s="19">
        <f t="shared" si="16"/>
        <v>0</v>
      </c>
      <c r="P14" s="19">
        <f>K14+SUM(L14:O14)</f>
        <v>0</v>
      </c>
      <c r="Q14" s="19">
        <f>Q8</f>
        <v>0</v>
      </c>
      <c r="R14" s="20" t="e">
        <f t="shared" si="1"/>
        <v>#DIV/0!</v>
      </c>
      <c r="S14" s="19">
        <f>S8</f>
        <v>0</v>
      </c>
      <c r="T14" s="20" t="e">
        <f t="shared" si="2"/>
        <v>#DIV/0!</v>
      </c>
      <c r="U14" s="19">
        <f>U8</f>
        <v>0</v>
      </c>
      <c r="V14" s="20" t="e">
        <f t="shared" si="3"/>
        <v>#DIV/0!</v>
      </c>
      <c r="W14" s="19">
        <f>W8</f>
        <v>0</v>
      </c>
      <c r="X14" s="20" t="e">
        <f t="shared" si="4"/>
        <v>#DIV/0!</v>
      </c>
      <c r="Y14" s="19">
        <f>Y8</f>
        <v>0</v>
      </c>
      <c r="Z14" s="19">
        <f>Z8</f>
        <v>0</v>
      </c>
    </row>
    <row r="15" spans="1:26" x14ac:dyDescent="0.25">
      <c r="D15" s="24"/>
      <c r="E15" s="25"/>
      <c r="F15" s="21" t="s">
        <v>31</v>
      </c>
      <c r="G15" s="22">
        <f t="shared" ref="G15:Q15" si="17">SUM(G12:G14)</f>
        <v>1300944.42</v>
      </c>
      <c r="H15" s="22">
        <f t="shared" si="17"/>
        <v>1278305.9899999998</v>
      </c>
      <c r="I15" s="22">
        <f t="shared" si="17"/>
        <v>1383075</v>
      </c>
      <c r="J15" s="22">
        <f t="shared" si="17"/>
        <v>1208870.6000000001</v>
      </c>
      <c r="K15" s="22">
        <f t="shared" si="17"/>
        <v>1596998</v>
      </c>
      <c r="L15" s="22">
        <f t="shared" si="17"/>
        <v>16373</v>
      </c>
      <c r="M15" s="22">
        <f t="shared" si="17"/>
        <v>74198.22</v>
      </c>
      <c r="N15" s="22">
        <f t="shared" si="17"/>
        <v>44504.78</v>
      </c>
      <c r="O15" s="22">
        <f t="shared" si="17"/>
        <v>28151</v>
      </c>
      <c r="P15" s="22">
        <f t="shared" si="17"/>
        <v>1760225</v>
      </c>
      <c r="Q15" s="22">
        <f t="shared" si="17"/>
        <v>213505.78</v>
      </c>
      <c r="R15" s="23">
        <f t="shared" si="1"/>
        <v>0.12129459586132454</v>
      </c>
      <c r="S15" s="22">
        <f>SUM(S12:S14)</f>
        <v>621922.28</v>
      </c>
      <c r="T15" s="23">
        <f t="shared" si="2"/>
        <v>0.35331976309846752</v>
      </c>
      <c r="U15" s="22">
        <f>SUM(U12:U14)</f>
        <v>958272.75</v>
      </c>
      <c r="V15" s="23">
        <f t="shared" si="3"/>
        <v>0.5444035563635331</v>
      </c>
      <c r="W15" s="22">
        <f>SUM(W12:W14)</f>
        <v>1540698.26</v>
      </c>
      <c r="X15" s="23">
        <f t="shared" si="4"/>
        <v>0.87528484142652219</v>
      </c>
      <c r="Y15" s="22">
        <f>SUM(Y12:Y14)</f>
        <v>1490268</v>
      </c>
      <c r="Z15" s="22">
        <f>SUM(Z12:Z14)</f>
        <v>1490268</v>
      </c>
    </row>
    <row r="17" spans="1:26" x14ac:dyDescent="0.25">
      <c r="D17" s="4" t="s">
        <v>112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D18" s="15"/>
      <c r="E18" s="15"/>
      <c r="F18" s="15"/>
      <c r="G18" s="16" t="s">
        <v>1</v>
      </c>
      <c r="H18" s="16" t="s">
        <v>2</v>
      </c>
      <c r="I18" s="16" t="s">
        <v>3</v>
      </c>
      <c r="J18" s="16" t="s">
        <v>4</v>
      </c>
      <c r="K18" s="16" t="s">
        <v>5</v>
      </c>
      <c r="L18" s="16" t="s">
        <v>6</v>
      </c>
      <c r="M18" s="16" t="s">
        <v>7</v>
      </c>
      <c r="N18" s="16" t="s">
        <v>8</v>
      </c>
      <c r="O18" s="16" t="s">
        <v>9</v>
      </c>
      <c r="P18" s="16" t="s">
        <v>10</v>
      </c>
      <c r="Q18" s="16" t="s">
        <v>11</v>
      </c>
      <c r="R18" s="17" t="s">
        <v>12</v>
      </c>
      <c r="S18" s="16" t="s">
        <v>13</v>
      </c>
      <c r="T18" s="17" t="s">
        <v>14</v>
      </c>
      <c r="U18" s="16" t="s">
        <v>15</v>
      </c>
      <c r="V18" s="17" t="s">
        <v>16</v>
      </c>
      <c r="W18" s="16" t="s">
        <v>17</v>
      </c>
      <c r="X18" s="17" t="s">
        <v>18</v>
      </c>
      <c r="Y18" s="16" t="s">
        <v>19</v>
      </c>
      <c r="Z18" s="16" t="s">
        <v>20</v>
      </c>
    </row>
    <row r="19" spans="1:26" x14ac:dyDescent="0.25">
      <c r="A19" s="10">
        <v>1</v>
      </c>
      <c r="D19" s="5" t="s">
        <v>21</v>
      </c>
      <c r="E19" s="29">
        <v>111</v>
      </c>
      <c r="F19" s="29" t="s">
        <v>99</v>
      </c>
      <c r="G19" s="30">
        <f t="shared" ref="G19:O19" si="18">G25+G98+G123</f>
        <v>8980.1099999999988</v>
      </c>
      <c r="H19" s="30">
        <f t="shared" si="18"/>
        <v>15518.85</v>
      </c>
      <c r="I19" s="30">
        <f t="shared" si="18"/>
        <v>6581</v>
      </c>
      <c r="J19" s="30">
        <f t="shared" si="18"/>
        <v>9258.61</v>
      </c>
      <c r="K19" s="30">
        <f t="shared" si="18"/>
        <v>9978</v>
      </c>
      <c r="L19" s="30">
        <f t="shared" si="18"/>
        <v>-169</v>
      </c>
      <c r="M19" s="30">
        <f t="shared" si="18"/>
        <v>0</v>
      </c>
      <c r="N19" s="30">
        <f t="shared" si="18"/>
        <v>0</v>
      </c>
      <c r="O19" s="30">
        <f t="shared" si="18"/>
        <v>660</v>
      </c>
      <c r="P19" s="30">
        <f>K19+SUM(L19:O19)</f>
        <v>10469</v>
      </c>
      <c r="Q19" s="30">
        <f>Q25+Q98+Q123</f>
        <v>1639.43</v>
      </c>
      <c r="R19" s="31">
        <f>Q19/$P19</f>
        <v>0.15659852899035248</v>
      </c>
      <c r="S19" s="30">
        <f>S25+S98+S123</f>
        <v>7598.8099999999995</v>
      </c>
      <c r="T19" s="31">
        <f>S19/$P19</f>
        <v>0.72583914413984141</v>
      </c>
      <c r="U19" s="30">
        <f>U25+U98+U123</f>
        <v>8922.59</v>
      </c>
      <c r="V19" s="31">
        <f>U19/$P19</f>
        <v>0.8522867513611615</v>
      </c>
      <c r="W19" s="30">
        <f>W25+W98+W123</f>
        <v>10335.490000000002</v>
      </c>
      <c r="X19" s="31">
        <f>W19/$P19</f>
        <v>0.98724711051676395</v>
      </c>
      <c r="Y19" s="30">
        <f>Y25+Y98+Y123</f>
        <v>9978</v>
      </c>
      <c r="Z19" s="30">
        <f>Z25+Z98+Z123</f>
        <v>9978</v>
      </c>
    </row>
    <row r="20" spans="1:26" x14ac:dyDescent="0.25">
      <c r="A20" s="10">
        <v>1</v>
      </c>
      <c r="D20" s="5"/>
      <c r="E20" s="29">
        <v>41</v>
      </c>
      <c r="F20" s="29" t="s">
        <v>23</v>
      </c>
      <c r="G20" s="30">
        <f t="shared" ref="G20:O20" si="19">G26+G102+G112</f>
        <v>222253.58000000002</v>
      </c>
      <c r="H20" s="30">
        <f t="shared" si="19"/>
        <v>208865.62999999995</v>
      </c>
      <c r="I20" s="30">
        <f t="shared" si="19"/>
        <v>235964</v>
      </c>
      <c r="J20" s="30">
        <f t="shared" si="19"/>
        <v>215078.16000000003</v>
      </c>
      <c r="K20" s="30">
        <f t="shared" si="19"/>
        <v>233155</v>
      </c>
      <c r="L20" s="30">
        <f t="shared" si="19"/>
        <v>5049</v>
      </c>
      <c r="M20" s="30">
        <f t="shared" si="19"/>
        <v>1210</v>
      </c>
      <c r="N20" s="30">
        <f t="shared" si="19"/>
        <v>-2657</v>
      </c>
      <c r="O20" s="30">
        <f t="shared" si="19"/>
        <v>8752</v>
      </c>
      <c r="P20" s="30">
        <f>K20+SUM(L20:O20)</f>
        <v>245509</v>
      </c>
      <c r="Q20" s="30">
        <f>Q26+Q102+Q112</f>
        <v>49538.07</v>
      </c>
      <c r="R20" s="31">
        <f>Q20/$P20</f>
        <v>0.20177700206509741</v>
      </c>
      <c r="S20" s="30">
        <f>S26+S102+S112</f>
        <v>103926.71</v>
      </c>
      <c r="T20" s="31">
        <f>S20/$P20</f>
        <v>0.42331120244064374</v>
      </c>
      <c r="U20" s="30">
        <f>U26+U102+U112</f>
        <v>146991.64000000001</v>
      </c>
      <c r="V20" s="31">
        <f>U20/$P20</f>
        <v>0.59872200204473158</v>
      </c>
      <c r="W20" s="30">
        <f>W26+W102+W112</f>
        <v>206016.95999999996</v>
      </c>
      <c r="X20" s="31">
        <f>W20/$P20</f>
        <v>0.83914219030666881</v>
      </c>
      <c r="Y20" s="30">
        <f>Y26+Y102+Y112</f>
        <v>229908</v>
      </c>
      <c r="Z20" s="30">
        <f>Z26+Z102+Z112</f>
        <v>234251</v>
      </c>
    </row>
    <row r="21" spans="1:26" x14ac:dyDescent="0.25">
      <c r="A21" s="10">
        <v>1</v>
      </c>
      <c r="D21" s="24"/>
      <c r="E21" s="25"/>
      <c r="F21" s="32" t="s">
        <v>31</v>
      </c>
      <c r="G21" s="33">
        <f t="shared" ref="G21:Q21" si="20">SUM(G19:G20)</f>
        <v>231233.69</v>
      </c>
      <c r="H21" s="33">
        <f t="shared" si="20"/>
        <v>224384.47999999995</v>
      </c>
      <c r="I21" s="33">
        <f t="shared" si="20"/>
        <v>242545</v>
      </c>
      <c r="J21" s="33">
        <f t="shared" si="20"/>
        <v>224336.77000000002</v>
      </c>
      <c r="K21" s="33">
        <f t="shared" si="20"/>
        <v>243133</v>
      </c>
      <c r="L21" s="33">
        <f t="shared" si="20"/>
        <v>4880</v>
      </c>
      <c r="M21" s="33">
        <f t="shared" si="20"/>
        <v>1210</v>
      </c>
      <c r="N21" s="33">
        <f t="shared" si="20"/>
        <v>-2657</v>
      </c>
      <c r="O21" s="33">
        <f t="shared" si="20"/>
        <v>9412</v>
      </c>
      <c r="P21" s="33">
        <f t="shared" si="20"/>
        <v>255978</v>
      </c>
      <c r="Q21" s="33">
        <f t="shared" si="20"/>
        <v>51177.5</v>
      </c>
      <c r="R21" s="34">
        <f>Q21/$P21</f>
        <v>0.199929290798428</v>
      </c>
      <c r="S21" s="33">
        <f>SUM(S19:S20)</f>
        <v>111525.52</v>
      </c>
      <c r="T21" s="34">
        <f>S21/$P21</f>
        <v>0.43568400409410185</v>
      </c>
      <c r="U21" s="33">
        <f>SUM(U19:U20)</f>
        <v>155914.23000000001</v>
      </c>
      <c r="V21" s="34">
        <f>U21/$P21</f>
        <v>0.60909230480744447</v>
      </c>
      <c r="W21" s="33">
        <f>SUM(W19:W20)</f>
        <v>216352.44999999995</v>
      </c>
      <c r="X21" s="34">
        <f>W21/$P21</f>
        <v>0.84519939213526141</v>
      </c>
      <c r="Y21" s="33">
        <f>SUM(Y19:Y20)</f>
        <v>239886</v>
      </c>
      <c r="Z21" s="33">
        <f>SUM(Z19:Z20)</f>
        <v>244229</v>
      </c>
    </row>
    <row r="23" spans="1:26" x14ac:dyDescent="0.25">
      <c r="D23" s="3" t="s">
        <v>113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D24" s="16"/>
      <c r="E24" s="16"/>
      <c r="F24" s="16"/>
      <c r="G24" s="16" t="s">
        <v>1</v>
      </c>
      <c r="H24" s="16" t="s">
        <v>2</v>
      </c>
      <c r="I24" s="16" t="s">
        <v>3</v>
      </c>
      <c r="J24" s="16" t="s">
        <v>4</v>
      </c>
      <c r="K24" s="16" t="s">
        <v>5</v>
      </c>
      <c r="L24" s="16" t="s">
        <v>6</v>
      </c>
      <c r="M24" s="16" t="s">
        <v>7</v>
      </c>
      <c r="N24" s="16" t="s">
        <v>8</v>
      </c>
      <c r="O24" s="16" t="s">
        <v>9</v>
      </c>
      <c r="P24" s="16" t="s">
        <v>10</v>
      </c>
      <c r="Q24" s="16" t="s">
        <v>11</v>
      </c>
      <c r="R24" s="17" t="s">
        <v>12</v>
      </c>
      <c r="S24" s="16" t="s">
        <v>13</v>
      </c>
      <c r="T24" s="17" t="s">
        <v>14</v>
      </c>
      <c r="U24" s="16" t="s">
        <v>15</v>
      </c>
      <c r="V24" s="17" t="s">
        <v>16</v>
      </c>
      <c r="W24" s="16" t="s">
        <v>17</v>
      </c>
      <c r="X24" s="17" t="s">
        <v>18</v>
      </c>
      <c r="Y24" s="16" t="s">
        <v>19</v>
      </c>
      <c r="Z24" s="16" t="s">
        <v>20</v>
      </c>
    </row>
    <row r="25" spans="1:26" x14ac:dyDescent="0.25">
      <c r="A25" s="10">
        <v>1</v>
      </c>
      <c r="B25" s="10">
        <v>1</v>
      </c>
      <c r="D25" s="8" t="s">
        <v>21</v>
      </c>
      <c r="E25" s="18">
        <v>111</v>
      </c>
      <c r="F25" s="18" t="s">
        <v>99</v>
      </c>
      <c r="G25" s="19">
        <f t="shared" ref="G25:O25" si="21">G87</f>
        <v>4877.7299999999996</v>
      </c>
      <c r="H25" s="19">
        <f t="shared" si="21"/>
        <v>4850.42</v>
      </c>
      <c r="I25" s="19">
        <f t="shared" si="21"/>
        <v>4581</v>
      </c>
      <c r="J25" s="19">
        <f t="shared" si="21"/>
        <v>5042.6000000000004</v>
      </c>
      <c r="K25" s="19">
        <f t="shared" si="21"/>
        <v>5042</v>
      </c>
      <c r="L25" s="19">
        <f t="shared" si="21"/>
        <v>0</v>
      </c>
      <c r="M25" s="19">
        <f t="shared" si="21"/>
        <v>0</v>
      </c>
      <c r="N25" s="19">
        <f t="shared" si="21"/>
        <v>0</v>
      </c>
      <c r="O25" s="19">
        <f t="shared" si="21"/>
        <v>229</v>
      </c>
      <c r="P25" s="19">
        <f>K25+SUM(L25:O25)</f>
        <v>5271</v>
      </c>
      <c r="Q25" s="19">
        <f>Q87</f>
        <v>99.02</v>
      </c>
      <c r="R25" s="20">
        <f>Q25/$P25</f>
        <v>1.8785809144374881E-2</v>
      </c>
      <c r="S25" s="19">
        <f>S87</f>
        <v>2564.5099999999998</v>
      </c>
      <c r="T25" s="20">
        <f>S25/$P25</f>
        <v>0.4865319673686207</v>
      </c>
      <c r="U25" s="19">
        <f>U87</f>
        <v>3751.95</v>
      </c>
      <c r="V25" s="20">
        <f>U25/$P25</f>
        <v>0.71180990324416615</v>
      </c>
      <c r="W25" s="19">
        <f>W87</f>
        <v>5164.8500000000004</v>
      </c>
      <c r="X25" s="20">
        <f>W25/$P25</f>
        <v>0.97986150635553038</v>
      </c>
      <c r="Y25" s="19">
        <f>Y87</f>
        <v>5042</v>
      </c>
      <c r="Z25" s="19">
        <f>Z87</f>
        <v>5042</v>
      </c>
    </row>
    <row r="26" spans="1:26" x14ac:dyDescent="0.25">
      <c r="A26" s="10">
        <v>1</v>
      </c>
      <c r="B26" s="10">
        <v>1</v>
      </c>
      <c r="D26" s="8"/>
      <c r="E26" s="18">
        <v>41</v>
      </c>
      <c r="F26" s="18" t="s">
        <v>23</v>
      </c>
      <c r="G26" s="19">
        <f t="shared" ref="G26:O26" si="22">G35+G45+G52+G58+G70+G80+G92</f>
        <v>181153.66</v>
      </c>
      <c r="H26" s="19">
        <f t="shared" si="22"/>
        <v>185967.82999999996</v>
      </c>
      <c r="I26" s="19">
        <f t="shared" si="22"/>
        <v>215754</v>
      </c>
      <c r="J26" s="19">
        <f t="shared" si="22"/>
        <v>202158.88000000003</v>
      </c>
      <c r="K26" s="19">
        <f t="shared" si="22"/>
        <v>216905</v>
      </c>
      <c r="L26" s="19">
        <f t="shared" si="22"/>
        <v>1416</v>
      </c>
      <c r="M26" s="19">
        <f t="shared" si="22"/>
        <v>0</v>
      </c>
      <c r="N26" s="19">
        <f t="shared" si="22"/>
        <v>-2657</v>
      </c>
      <c r="O26" s="19">
        <f t="shared" si="22"/>
        <v>6909</v>
      </c>
      <c r="P26" s="19">
        <f>K26+SUM(L26:O26)</f>
        <v>222573</v>
      </c>
      <c r="Q26" s="19">
        <f>Q35+Q45+Q52+Q58+Q70+Q80+Q92</f>
        <v>44825.279999999999</v>
      </c>
      <c r="R26" s="20">
        <f>Q26/$P26</f>
        <v>0.2013958566402933</v>
      </c>
      <c r="S26" s="19">
        <f>S35+S45+S52+S58+S70+S80+S92</f>
        <v>96594.57</v>
      </c>
      <c r="T26" s="20">
        <f>S26/$P26</f>
        <v>0.43399051097842062</v>
      </c>
      <c r="U26" s="19">
        <f>U35+U45+U52+U58+U70+U80+U92</f>
        <v>135661.91</v>
      </c>
      <c r="V26" s="20">
        <f>U26/$P26</f>
        <v>0.60951647324697966</v>
      </c>
      <c r="W26" s="19">
        <f>W35+W45+W52+W58+W70+W80+W92</f>
        <v>185918.52999999997</v>
      </c>
      <c r="X26" s="20">
        <f>W26/$P26</f>
        <v>0.83531484052423233</v>
      </c>
      <c r="Y26" s="19">
        <f>Y35+Y45+Y52+Y58+Y70+Y80+Y92</f>
        <v>215134</v>
      </c>
      <c r="Z26" s="19">
        <f>Z35+Z45+Z52+Z58+Z70+Z80+Z92</f>
        <v>218917</v>
      </c>
    </row>
    <row r="27" spans="1:26" x14ac:dyDescent="0.25">
      <c r="A27" s="10">
        <v>1</v>
      </c>
      <c r="B27" s="10">
        <v>1</v>
      </c>
      <c r="D27" s="24"/>
      <c r="E27" s="25"/>
      <c r="F27" s="21" t="s">
        <v>31</v>
      </c>
      <c r="G27" s="22">
        <f t="shared" ref="G27:Q27" si="23">SUM(G25:G26)</f>
        <v>186031.39</v>
      </c>
      <c r="H27" s="22">
        <f t="shared" si="23"/>
        <v>190818.24999999997</v>
      </c>
      <c r="I27" s="22">
        <f t="shared" si="23"/>
        <v>220335</v>
      </c>
      <c r="J27" s="22">
        <f t="shared" si="23"/>
        <v>207201.48000000004</v>
      </c>
      <c r="K27" s="22">
        <f t="shared" si="23"/>
        <v>221947</v>
      </c>
      <c r="L27" s="22">
        <f t="shared" si="23"/>
        <v>1416</v>
      </c>
      <c r="M27" s="22">
        <f t="shared" si="23"/>
        <v>0</v>
      </c>
      <c r="N27" s="22">
        <f t="shared" si="23"/>
        <v>-2657</v>
      </c>
      <c r="O27" s="22">
        <f t="shared" si="23"/>
        <v>7138</v>
      </c>
      <c r="P27" s="22">
        <f t="shared" si="23"/>
        <v>227844</v>
      </c>
      <c r="Q27" s="22">
        <f t="shared" si="23"/>
        <v>44924.299999999996</v>
      </c>
      <c r="R27" s="23">
        <f>Q27/$P27</f>
        <v>0.19717131019469461</v>
      </c>
      <c r="S27" s="22">
        <f>SUM(S25:S26)</f>
        <v>99159.08</v>
      </c>
      <c r="T27" s="23">
        <f>S27/$P27</f>
        <v>0.43520601815277121</v>
      </c>
      <c r="U27" s="22">
        <f>SUM(U25:U26)</f>
        <v>139413.86000000002</v>
      </c>
      <c r="V27" s="23">
        <f>U27/$P27</f>
        <v>0.61188295500430123</v>
      </c>
      <c r="W27" s="22">
        <f>SUM(W25:W26)</f>
        <v>191083.37999999998</v>
      </c>
      <c r="X27" s="23">
        <f>W27/$P27</f>
        <v>0.83865881919207863</v>
      </c>
      <c r="Y27" s="22">
        <f>SUM(Y25:Y26)</f>
        <v>220176</v>
      </c>
      <c r="Z27" s="22">
        <f>SUM(Z25:Z26)</f>
        <v>223959</v>
      </c>
    </row>
    <row r="29" spans="1:26" x14ac:dyDescent="0.25">
      <c r="D29" s="2" t="s">
        <v>114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D30" s="16" t="s">
        <v>33</v>
      </c>
      <c r="E30" s="16" t="s">
        <v>34</v>
      </c>
      <c r="F30" s="16" t="s">
        <v>35</v>
      </c>
      <c r="G30" s="16" t="s">
        <v>1</v>
      </c>
      <c r="H30" s="16" t="s">
        <v>2</v>
      </c>
      <c r="I30" s="16" t="s">
        <v>3</v>
      </c>
      <c r="J30" s="16" t="s">
        <v>4</v>
      </c>
      <c r="K30" s="16" t="s">
        <v>5</v>
      </c>
      <c r="L30" s="16" t="s">
        <v>6</v>
      </c>
      <c r="M30" s="16" t="s">
        <v>7</v>
      </c>
      <c r="N30" s="16" t="s">
        <v>8</v>
      </c>
      <c r="O30" s="16" t="s">
        <v>9</v>
      </c>
      <c r="P30" s="16" t="s">
        <v>10</v>
      </c>
      <c r="Q30" s="16" t="s">
        <v>11</v>
      </c>
      <c r="R30" s="17" t="s">
        <v>12</v>
      </c>
      <c r="S30" s="16" t="s">
        <v>13</v>
      </c>
      <c r="T30" s="17" t="s">
        <v>14</v>
      </c>
      <c r="U30" s="16" t="s">
        <v>15</v>
      </c>
      <c r="V30" s="17" t="s">
        <v>16</v>
      </c>
      <c r="W30" s="16" t="s">
        <v>17</v>
      </c>
      <c r="X30" s="17" t="s">
        <v>18</v>
      </c>
      <c r="Y30" s="16" t="s">
        <v>19</v>
      </c>
      <c r="Z30" s="16" t="s">
        <v>20</v>
      </c>
    </row>
    <row r="31" spans="1:26" x14ac:dyDescent="0.25">
      <c r="A31" s="10">
        <v>1</v>
      </c>
      <c r="B31" s="10">
        <v>1</v>
      </c>
      <c r="C31" s="10">
        <v>1</v>
      </c>
      <c r="D31" s="7" t="s">
        <v>115</v>
      </c>
      <c r="E31" s="18">
        <v>610</v>
      </c>
      <c r="F31" s="18" t="s">
        <v>116</v>
      </c>
      <c r="G31" s="19">
        <v>27542.15</v>
      </c>
      <c r="H31" s="19">
        <v>28804.21</v>
      </c>
      <c r="I31" s="19">
        <v>28452</v>
      </c>
      <c r="J31" s="19">
        <v>28444.91</v>
      </c>
      <c r="K31" s="19">
        <v>28452</v>
      </c>
      <c r="L31" s="19"/>
      <c r="M31" s="19"/>
      <c r="N31" s="19"/>
      <c r="O31" s="19">
        <v>12</v>
      </c>
      <c r="P31" s="19">
        <f>K31+SUM(L31:O31)</f>
        <v>28464</v>
      </c>
      <c r="Q31" s="19">
        <v>7113</v>
      </c>
      <c r="R31" s="20">
        <f>Q31/$P31</f>
        <v>0.2498946037099494</v>
      </c>
      <c r="S31" s="19">
        <v>14225.32</v>
      </c>
      <c r="T31" s="20">
        <f>S31/$P31</f>
        <v>0.49976531759415399</v>
      </c>
      <c r="U31" s="19">
        <v>21338.32</v>
      </c>
      <c r="V31" s="20">
        <f>U31/$P31</f>
        <v>0.74965992130410342</v>
      </c>
      <c r="W31" s="19">
        <v>28464.29</v>
      </c>
      <c r="X31" s="20">
        <f>W31/$P31</f>
        <v>1.0000101883080383</v>
      </c>
      <c r="Y31" s="19">
        <v>28452</v>
      </c>
      <c r="Z31" s="19">
        <v>28452</v>
      </c>
    </row>
    <row r="32" spans="1:26" x14ac:dyDescent="0.25">
      <c r="A32" s="10">
        <v>1</v>
      </c>
      <c r="B32" s="10">
        <v>1</v>
      </c>
      <c r="C32" s="10">
        <v>1</v>
      </c>
      <c r="D32" s="7"/>
      <c r="E32" s="18">
        <v>620</v>
      </c>
      <c r="F32" s="18" t="s">
        <v>117</v>
      </c>
      <c r="G32" s="19">
        <v>10435.540000000001</v>
      </c>
      <c r="H32" s="19">
        <v>12216.88</v>
      </c>
      <c r="I32" s="19">
        <v>12421</v>
      </c>
      <c r="J32" s="19">
        <v>12391.13</v>
      </c>
      <c r="K32" s="19">
        <v>10489</v>
      </c>
      <c r="L32" s="19">
        <v>2290</v>
      </c>
      <c r="M32" s="19"/>
      <c r="N32" s="19"/>
      <c r="O32" s="19">
        <v>129</v>
      </c>
      <c r="P32" s="19">
        <f>K32+SUM(L32:O32)</f>
        <v>12908</v>
      </c>
      <c r="Q32" s="19">
        <v>3775.91</v>
      </c>
      <c r="R32" s="20">
        <f>Q32/$P32</f>
        <v>0.29252479082739385</v>
      </c>
      <c r="S32" s="19">
        <v>7293.47</v>
      </c>
      <c r="T32" s="20">
        <f>S32/$P32</f>
        <v>0.56503486210102261</v>
      </c>
      <c r="U32" s="19">
        <v>10181.17</v>
      </c>
      <c r="V32" s="20">
        <f>U32/$P32</f>
        <v>0.78874883792996597</v>
      </c>
      <c r="W32" s="19">
        <v>12861.72</v>
      </c>
      <c r="X32" s="20">
        <f>W32/$P32</f>
        <v>0.99641462658816238</v>
      </c>
      <c r="Y32" s="19">
        <v>10489</v>
      </c>
      <c r="Z32" s="19">
        <v>10489</v>
      </c>
    </row>
    <row r="33" spans="1:26" x14ac:dyDescent="0.25">
      <c r="A33" s="10">
        <v>1</v>
      </c>
      <c r="B33" s="10">
        <v>1</v>
      </c>
      <c r="C33" s="10">
        <v>1</v>
      </c>
      <c r="D33" s="7"/>
      <c r="E33" s="18">
        <v>630</v>
      </c>
      <c r="F33" s="18" t="s">
        <v>118</v>
      </c>
      <c r="G33" s="19">
        <v>3894.41</v>
      </c>
      <c r="H33" s="19">
        <v>8328.33</v>
      </c>
      <c r="I33" s="19">
        <v>8120</v>
      </c>
      <c r="J33" s="19">
        <v>5767.31</v>
      </c>
      <c r="K33" s="19">
        <v>10934</v>
      </c>
      <c r="L33" s="19">
        <v>-1954</v>
      </c>
      <c r="M33" s="19"/>
      <c r="N33" s="19">
        <v>143</v>
      </c>
      <c r="O33" s="19">
        <v>481</v>
      </c>
      <c r="P33" s="19">
        <f>K33+SUM(L33:O33)</f>
        <v>9604</v>
      </c>
      <c r="Q33" s="19">
        <v>6888.23</v>
      </c>
      <c r="R33" s="20">
        <f>Q33/$P33</f>
        <v>0.71722511453561011</v>
      </c>
      <c r="S33" s="19">
        <v>7746.29</v>
      </c>
      <c r="T33" s="20">
        <f>S33/$P33</f>
        <v>0.80656913785922535</v>
      </c>
      <c r="U33" s="19">
        <v>8492.3799999999992</v>
      </c>
      <c r="V33" s="20">
        <f>U33/$P33</f>
        <v>0.8842544773011245</v>
      </c>
      <c r="W33" s="19">
        <v>9574.24</v>
      </c>
      <c r="X33" s="20">
        <f>W33/$P33</f>
        <v>0.9969012911286963</v>
      </c>
      <c r="Y33" s="19">
        <v>10924</v>
      </c>
      <c r="Z33" s="19">
        <v>10934</v>
      </c>
    </row>
    <row r="34" spans="1:26" x14ac:dyDescent="0.25">
      <c r="A34" s="10">
        <v>1</v>
      </c>
      <c r="B34" s="10">
        <v>1</v>
      </c>
      <c r="C34" s="10">
        <v>1</v>
      </c>
      <c r="D34" s="7"/>
      <c r="E34" s="18">
        <v>640</v>
      </c>
      <c r="F34" s="18" t="s">
        <v>119</v>
      </c>
      <c r="G34" s="19">
        <v>0</v>
      </c>
      <c r="H34" s="19">
        <v>0</v>
      </c>
      <c r="I34" s="19">
        <v>6777</v>
      </c>
      <c r="J34" s="19">
        <v>6792.35</v>
      </c>
      <c r="K34" s="19">
        <v>0</v>
      </c>
      <c r="L34" s="19"/>
      <c r="M34" s="19"/>
      <c r="N34" s="19"/>
      <c r="O34" s="19"/>
      <c r="P34" s="19">
        <f>K34+SUM(L34:O34)</f>
        <v>0</v>
      </c>
      <c r="Q34" s="19">
        <v>0</v>
      </c>
      <c r="R34" s="20" t="e">
        <f>Q34/$P34</f>
        <v>#DIV/0!</v>
      </c>
      <c r="S34" s="19">
        <v>0</v>
      </c>
      <c r="T34" s="20" t="e">
        <f>S34/$P34</f>
        <v>#DIV/0!</v>
      </c>
      <c r="U34" s="19">
        <v>0</v>
      </c>
      <c r="V34" s="20" t="e">
        <f>U34/$P34</f>
        <v>#DIV/0!</v>
      </c>
      <c r="W34" s="19">
        <v>0</v>
      </c>
      <c r="X34" s="20" t="e">
        <f>W34/$P34</f>
        <v>#DIV/0!</v>
      </c>
      <c r="Y34" s="19">
        <v>0</v>
      </c>
      <c r="Z34" s="19">
        <v>0</v>
      </c>
    </row>
    <row r="35" spans="1:26" x14ac:dyDescent="0.25">
      <c r="A35" s="10">
        <v>1</v>
      </c>
      <c r="B35" s="10">
        <v>1</v>
      </c>
      <c r="C35" s="10">
        <v>1</v>
      </c>
      <c r="D35" s="69" t="s">
        <v>97</v>
      </c>
      <c r="E35" s="21">
        <v>41</v>
      </c>
      <c r="F35" s="21" t="s">
        <v>56</v>
      </c>
      <c r="G35" s="22">
        <f t="shared" ref="G35:Q35" si="24">SUM(G31:G34)</f>
        <v>41872.100000000006</v>
      </c>
      <c r="H35" s="22">
        <f t="shared" si="24"/>
        <v>49349.42</v>
      </c>
      <c r="I35" s="22">
        <f t="shared" si="24"/>
        <v>55770</v>
      </c>
      <c r="J35" s="22">
        <f t="shared" si="24"/>
        <v>53395.7</v>
      </c>
      <c r="K35" s="22">
        <f t="shared" si="24"/>
        <v>49875</v>
      </c>
      <c r="L35" s="22">
        <f t="shared" si="24"/>
        <v>336</v>
      </c>
      <c r="M35" s="22">
        <f t="shared" si="24"/>
        <v>0</v>
      </c>
      <c r="N35" s="22">
        <f t="shared" si="24"/>
        <v>143</v>
      </c>
      <c r="O35" s="22">
        <f t="shared" si="24"/>
        <v>622</v>
      </c>
      <c r="P35" s="22">
        <f t="shared" si="24"/>
        <v>50976</v>
      </c>
      <c r="Q35" s="22">
        <f t="shared" si="24"/>
        <v>17777.14</v>
      </c>
      <c r="R35" s="23">
        <f>Q35/$P35</f>
        <v>0.34873548336472066</v>
      </c>
      <c r="S35" s="22">
        <f>SUM(S31:S34)</f>
        <v>29265.08</v>
      </c>
      <c r="T35" s="23">
        <f>S35/$P35</f>
        <v>0.57409526051475213</v>
      </c>
      <c r="U35" s="22">
        <f>SUM(U31:U34)</f>
        <v>40011.869999999995</v>
      </c>
      <c r="V35" s="23">
        <f>U35/$P35</f>
        <v>0.78491584274952908</v>
      </c>
      <c r="W35" s="22">
        <f>SUM(W31:W34)</f>
        <v>50900.25</v>
      </c>
      <c r="X35" s="23">
        <f>W35/$P35</f>
        <v>0.99851400659133704</v>
      </c>
      <c r="Y35" s="22">
        <f>SUM(Y31:Y34)</f>
        <v>49865</v>
      </c>
      <c r="Z35" s="22">
        <f>SUM(Z31:Z34)</f>
        <v>49875</v>
      </c>
    </row>
    <row r="36" spans="1:26" x14ac:dyDescent="0.25">
      <c r="D36" s="38"/>
      <c r="E36" s="39"/>
      <c r="F36" s="39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2"/>
      <c r="S36" s="71"/>
      <c r="T36" s="72"/>
      <c r="U36" s="71"/>
      <c r="V36" s="72"/>
      <c r="W36" s="71"/>
      <c r="X36" s="72"/>
      <c r="Y36" s="71"/>
      <c r="Z36" s="71"/>
    </row>
    <row r="37" spans="1:26" x14ac:dyDescent="0.25">
      <c r="D37" s="38"/>
      <c r="E37" s="73" t="s">
        <v>57</v>
      </c>
      <c r="F37" s="74" t="s">
        <v>120</v>
      </c>
      <c r="G37" s="75"/>
      <c r="H37" s="75"/>
      <c r="I37" s="75">
        <v>6777</v>
      </c>
      <c r="J37" s="75">
        <v>6777</v>
      </c>
      <c r="K37" s="75"/>
      <c r="L37" s="75"/>
      <c r="M37" s="75"/>
      <c r="N37" s="75"/>
      <c r="O37" s="75"/>
      <c r="P37" s="75"/>
      <c r="Q37" s="75"/>
      <c r="R37" s="76"/>
      <c r="S37" s="75"/>
      <c r="T37" s="76"/>
      <c r="U37" s="75"/>
      <c r="V37" s="76"/>
      <c r="W37" s="75"/>
      <c r="X37" s="77"/>
      <c r="Y37" s="75"/>
      <c r="Z37" s="78"/>
    </row>
    <row r="38" spans="1:26" x14ac:dyDescent="0.25">
      <c r="D38" s="38"/>
      <c r="E38" s="39"/>
      <c r="F38" s="39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2"/>
      <c r="S38" s="71"/>
      <c r="T38" s="72"/>
      <c r="U38" s="71"/>
      <c r="V38" s="72"/>
      <c r="W38" s="71"/>
      <c r="X38" s="72"/>
      <c r="Y38" s="71"/>
      <c r="Z38" s="71"/>
    </row>
    <row r="39" spans="1:26" x14ac:dyDescent="0.25">
      <c r="D39" s="2" t="s">
        <v>121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D40" s="16" t="s">
        <v>33</v>
      </c>
      <c r="E40" s="16" t="s">
        <v>34</v>
      </c>
      <c r="F40" s="16" t="s">
        <v>35</v>
      </c>
      <c r="G40" s="16" t="s">
        <v>1</v>
      </c>
      <c r="H40" s="16" t="s">
        <v>2</v>
      </c>
      <c r="I40" s="16" t="s">
        <v>3</v>
      </c>
      <c r="J40" s="16" t="s">
        <v>4</v>
      </c>
      <c r="K40" s="16" t="s">
        <v>5</v>
      </c>
      <c r="L40" s="16" t="s">
        <v>6</v>
      </c>
      <c r="M40" s="16" t="s">
        <v>7</v>
      </c>
      <c r="N40" s="16" t="s">
        <v>8</v>
      </c>
      <c r="O40" s="16" t="s">
        <v>9</v>
      </c>
      <c r="P40" s="16" t="s">
        <v>10</v>
      </c>
      <c r="Q40" s="16" t="s">
        <v>11</v>
      </c>
      <c r="R40" s="17" t="s">
        <v>12</v>
      </c>
      <c r="S40" s="16" t="s">
        <v>13</v>
      </c>
      <c r="T40" s="17" t="s">
        <v>14</v>
      </c>
      <c r="U40" s="16" t="s">
        <v>15</v>
      </c>
      <c r="V40" s="17" t="s">
        <v>16</v>
      </c>
      <c r="W40" s="16" t="s">
        <v>17</v>
      </c>
      <c r="X40" s="17" t="s">
        <v>18</v>
      </c>
      <c r="Y40" s="16" t="s">
        <v>19</v>
      </c>
      <c r="Z40" s="16" t="s">
        <v>20</v>
      </c>
    </row>
    <row r="41" spans="1:26" x14ac:dyDescent="0.25">
      <c r="A41" s="10">
        <v>1</v>
      </c>
      <c r="B41" s="10">
        <v>1</v>
      </c>
      <c r="C41" s="10">
        <v>2</v>
      </c>
      <c r="D41" s="7" t="s">
        <v>115</v>
      </c>
      <c r="E41" s="18">
        <v>610</v>
      </c>
      <c r="F41" s="18" t="s">
        <v>116</v>
      </c>
      <c r="G41" s="19">
        <v>41983.83</v>
      </c>
      <c r="H41" s="19">
        <v>46254.400000000001</v>
      </c>
      <c r="I41" s="19">
        <v>47855</v>
      </c>
      <c r="J41" s="19">
        <v>48214.27</v>
      </c>
      <c r="K41" s="19">
        <v>47517</v>
      </c>
      <c r="L41" s="19">
        <v>-704</v>
      </c>
      <c r="M41" s="19"/>
      <c r="N41" s="19"/>
      <c r="O41" s="19">
        <v>257</v>
      </c>
      <c r="P41" s="19">
        <f>K41+SUM(L41:O41)</f>
        <v>47070</v>
      </c>
      <c r="Q41" s="19">
        <v>7641.7</v>
      </c>
      <c r="R41" s="20">
        <f>Q41/$P41</f>
        <v>0.16234756745272996</v>
      </c>
      <c r="S41" s="19">
        <v>21319.5</v>
      </c>
      <c r="T41" s="20">
        <f>S41/$P41</f>
        <v>0.45293180369662206</v>
      </c>
      <c r="U41" s="19">
        <v>29584.33</v>
      </c>
      <c r="V41" s="20">
        <f>U41/$P41</f>
        <v>0.62851773953686008</v>
      </c>
      <c r="W41" s="19">
        <v>39593.61</v>
      </c>
      <c r="X41" s="20">
        <f>W41/$P41</f>
        <v>0.84116443594646273</v>
      </c>
      <c r="Y41" s="19">
        <v>49346</v>
      </c>
      <c r="Z41" s="19">
        <v>51248</v>
      </c>
    </row>
    <row r="42" spans="1:26" x14ac:dyDescent="0.25">
      <c r="A42" s="10">
        <v>1</v>
      </c>
      <c r="B42" s="10">
        <v>1</v>
      </c>
      <c r="C42" s="10">
        <v>2</v>
      </c>
      <c r="D42" s="7"/>
      <c r="E42" s="18">
        <v>620</v>
      </c>
      <c r="F42" s="18" t="s">
        <v>117</v>
      </c>
      <c r="G42" s="19">
        <v>14391.65</v>
      </c>
      <c r="H42" s="19">
        <v>16286.66</v>
      </c>
      <c r="I42" s="19">
        <v>16933</v>
      </c>
      <c r="J42" s="19">
        <v>17328.599999999999</v>
      </c>
      <c r="K42" s="19">
        <v>18359</v>
      </c>
      <c r="L42" s="19"/>
      <c r="M42" s="19"/>
      <c r="N42" s="19"/>
      <c r="O42" s="19">
        <v>-848</v>
      </c>
      <c r="P42" s="19">
        <f>K42+SUM(L42:O42)</f>
        <v>17511</v>
      </c>
      <c r="Q42" s="19">
        <v>2808.55</v>
      </c>
      <c r="R42" s="20">
        <f>Q42/$P42</f>
        <v>0.16038775626748902</v>
      </c>
      <c r="S42" s="19">
        <v>8549.06</v>
      </c>
      <c r="T42" s="20">
        <f>S42/$P42</f>
        <v>0.48821083890126205</v>
      </c>
      <c r="U42" s="19">
        <v>12135.95</v>
      </c>
      <c r="V42" s="20">
        <f>U42/$P42</f>
        <v>0.69304722745702707</v>
      </c>
      <c r="W42" s="19">
        <v>16359.24</v>
      </c>
      <c r="X42" s="20">
        <f>W42/$P42</f>
        <v>0.93422648620866877</v>
      </c>
      <c r="Y42" s="19">
        <v>18730</v>
      </c>
      <c r="Z42" s="19">
        <v>19412</v>
      </c>
    </row>
    <row r="43" spans="1:26" x14ac:dyDescent="0.25">
      <c r="A43" s="10">
        <v>1</v>
      </c>
      <c r="B43" s="10">
        <v>1</v>
      </c>
      <c r="C43" s="10">
        <v>2</v>
      </c>
      <c r="D43" s="7"/>
      <c r="E43" s="18">
        <v>630</v>
      </c>
      <c r="F43" s="18" t="s">
        <v>118</v>
      </c>
      <c r="G43" s="19">
        <v>3339.44</v>
      </c>
      <c r="H43" s="19">
        <v>3019.15</v>
      </c>
      <c r="I43" s="19">
        <v>3971</v>
      </c>
      <c r="J43" s="19">
        <v>5447.21</v>
      </c>
      <c r="K43" s="19">
        <v>9389</v>
      </c>
      <c r="L43" s="19">
        <v>500</v>
      </c>
      <c r="M43" s="19"/>
      <c r="N43" s="19">
        <v>200</v>
      </c>
      <c r="O43" s="19">
        <v>591</v>
      </c>
      <c r="P43" s="19">
        <f>K43+SUM(L43:O43)</f>
        <v>10680</v>
      </c>
      <c r="Q43" s="19">
        <v>1722.06</v>
      </c>
      <c r="R43" s="20">
        <f>Q43/$P43</f>
        <v>0.16124157303370787</v>
      </c>
      <c r="S43" s="19">
        <v>4747.33</v>
      </c>
      <c r="T43" s="20">
        <f>S43/$P43</f>
        <v>0.44450655430711611</v>
      </c>
      <c r="U43" s="19">
        <v>6876.6</v>
      </c>
      <c r="V43" s="20">
        <f>U43/$P43</f>
        <v>0.6438764044943821</v>
      </c>
      <c r="W43" s="19">
        <v>9911.81</v>
      </c>
      <c r="X43" s="20">
        <f>W43/$P43</f>
        <v>0.92807209737827712</v>
      </c>
      <c r="Y43" s="19">
        <v>9370</v>
      </c>
      <c r="Z43" s="19">
        <v>9430</v>
      </c>
    </row>
    <row r="44" spans="1:26" x14ac:dyDescent="0.25">
      <c r="A44" s="10">
        <v>1</v>
      </c>
      <c r="B44" s="10">
        <v>1</v>
      </c>
      <c r="C44" s="10">
        <v>2</v>
      </c>
      <c r="D44" s="7"/>
      <c r="E44" s="18">
        <v>640</v>
      </c>
      <c r="F44" s="18" t="s">
        <v>119</v>
      </c>
      <c r="G44" s="19">
        <v>0</v>
      </c>
      <c r="H44" s="19">
        <v>68.31</v>
      </c>
      <c r="I44" s="19">
        <v>605</v>
      </c>
      <c r="J44" s="19">
        <v>767.93</v>
      </c>
      <c r="K44" s="19">
        <v>1051</v>
      </c>
      <c r="L44" s="19">
        <v>704</v>
      </c>
      <c r="M44" s="19"/>
      <c r="N44" s="19"/>
      <c r="O44" s="19"/>
      <c r="P44" s="19">
        <f>K44+SUM(L44:O44)</f>
        <v>1755</v>
      </c>
      <c r="Q44" s="19">
        <v>0</v>
      </c>
      <c r="R44" s="20">
        <f>Q44/$P44</f>
        <v>0</v>
      </c>
      <c r="S44" s="19">
        <v>1755</v>
      </c>
      <c r="T44" s="20">
        <f>S44/$P44</f>
        <v>1</v>
      </c>
      <c r="U44" s="19">
        <v>1755</v>
      </c>
      <c r="V44" s="20">
        <f>U44/$P44</f>
        <v>1</v>
      </c>
      <c r="W44" s="19">
        <v>1755</v>
      </c>
      <c r="X44" s="20">
        <f>W44/$P44</f>
        <v>1</v>
      </c>
      <c r="Y44" s="19">
        <v>0</v>
      </c>
      <c r="Z44" s="19">
        <v>0</v>
      </c>
    </row>
    <row r="45" spans="1:26" x14ac:dyDescent="0.25">
      <c r="A45" s="10">
        <v>1</v>
      </c>
      <c r="B45" s="10">
        <v>1</v>
      </c>
      <c r="C45" s="10">
        <v>2</v>
      </c>
      <c r="D45" s="69" t="s">
        <v>97</v>
      </c>
      <c r="E45" s="21">
        <v>41</v>
      </c>
      <c r="F45" s="21" t="s">
        <v>56</v>
      </c>
      <c r="G45" s="22">
        <f t="shared" ref="G45:Q45" si="25">SUM(G41:G44)</f>
        <v>59714.920000000006</v>
      </c>
      <c r="H45" s="22">
        <f t="shared" si="25"/>
        <v>65628.51999999999</v>
      </c>
      <c r="I45" s="22">
        <f t="shared" si="25"/>
        <v>69364</v>
      </c>
      <c r="J45" s="22">
        <f t="shared" si="25"/>
        <v>71758.009999999995</v>
      </c>
      <c r="K45" s="22">
        <f t="shared" si="25"/>
        <v>76316</v>
      </c>
      <c r="L45" s="22">
        <f t="shared" si="25"/>
        <v>500</v>
      </c>
      <c r="M45" s="22">
        <f t="shared" si="25"/>
        <v>0</v>
      </c>
      <c r="N45" s="22">
        <f t="shared" si="25"/>
        <v>200</v>
      </c>
      <c r="O45" s="22">
        <f t="shared" si="25"/>
        <v>0</v>
      </c>
      <c r="P45" s="22">
        <f t="shared" si="25"/>
        <v>77016</v>
      </c>
      <c r="Q45" s="22">
        <f t="shared" si="25"/>
        <v>12172.31</v>
      </c>
      <c r="R45" s="23">
        <f>Q45/$P45</f>
        <v>0.15804910667913161</v>
      </c>
      <c r="S45" s="22">
        <f>SUM(S41:S44)</f>
        <v>36370.89</v>
      </c>
      <c r="T45" s="23">
        <f>S45/$P45</f>
        <v>0.47225109068245558</v>
      </c>
      <c r="U45" s="22">
        <f>SUM(U41:U44)</f>
        <v>50351.88</v>
      </c>
      <c r="V45" s="23">
        <f>U45/$P45</f>
        <v>0.65378466812090996</v>
      </c>
      <c r="W45" s="22">
        <f>SUM(W41:W44)</f>
        <v>67619.66</v>
      </c>
      <c r="X45" s="23">
        <f>W45/$P45</f>
        <v>0.87799496208580041</v>
      </c>
      <c r="Y45" s="22">
        <f>SUM(Y41:Y44)</f>
        <v>77446</v>
      </c>
      <c r="Z45" s="22">
        <f>SUM(Z41:Z44)</f>
        <v>80090</v>
      </c>
    </row>
    <row r="46" spans="1:26" x14ac:dyDescent="0.25">
      <c r="D46" s="38"/>
      <c r="E46" s="39"/>
      <c r="F46" s="3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2"/>
      <c r="S46" s="71"/>
      <c r="T46" s="72"/>
      <c r="U46" s="71"/>
      <c r="V46" s="72"/>
      <c r="W46" s="71"/>
      <c r="X46" s="72"/>
      <c r="Y46" s="71"/>
      <c r="Z46" s="71"/>
    </row>
    <row r="47" spans="1:26" x14ac:dyDescent="0.25">
      <c r="D47" s="2" t="s">
        <v>122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D48" s="16" t="s">
        <v>33</v>
      </c>
      <c r="E48" s="16" t="s">
        <v>34</v>
      </c>
      <c r="F48" s="16" t="s">
        <v>35</v>
      </c>
      <c r="G48" s="16" t="s">
        <v>1</v>
      </c>
      <c r="H48" s="16" t="s">
        <v>2</v>
      </c>
      <c r="I48" s="16" t="s">
        <v>3</v>
      </c>
      <c r="J48" s="16" t="s">
        <v>4</v>
      </c>
      <c r="K48" s="16" t="s">
        <v>5</v>
      </c>
      <c r="L48" s="16" t="s">
        <v>6</v>
      </c>
      <c r="M48" s="16" t="s">
        <v>7</v>
      </c>
      <c r="N48" s="16" t="s">
        <v>8</v>
      </c>
      <c r="O48" s="16" t="s">
        <v>9</v>
      </c>
      <c r="P48" s="16" t="s">
        <v>10</v>
      </c>
      <c r="Q48" s="16" t="s">
        <v>11</v>
      </c>
      <c r="R48" s="17" t="s">
        <v>12</v>
      </c>
      <c r="S48" s="16" t="s">
        <v>13</v>
      </c>
      <c r="T48" s="17" t="s">
        <v>14</v>
      </c>
      <c r="U48" s="16" t="s">
        <v>15</v>
      </c>
      <c r="V48" s="17" t="s">
        <v>16</v>
      </c>
      <c r="W48" s="16" t="s">
        <v>17</v>
      </c>
      <c r="X48" s="17" t="s">
        <v>18</v>
      </c>
      <c r="Y48" s="16" t="s">
        <v>19</v>
      </c>
      <c r="Z48" s="16" t="s">
        <v>20</v>
      </c>
    </row>
    <row r="49" spans="1:26" x14ac:dyDescent="0.25">
      <c r="A49" s="10">
        <v>1</v>
      </c>
      <c r="B49" s="10">
        <v>1</v>
      </c>
      <c r="C49" s="10">
        <v>3</v>
      </c>
      <c r="D49" s="7" t="s">
        <v>123</v>
      </c>
      <c r="E49" s="18">
        <v>610</v>
      </c>
      <c r="F49" s="18" t="s">
        <v>116</v>
      </c>
      <c r="G49" s="19">
        <v>3067.2</v>
      </c>
      <c r="H49" s="19">
        <v>8533.2199999999993</v>
      </c>
      <c r="I49" s="19">
        <v>8882</v>
      </c>
      <c r="J49" s="19">
        <v>8310.74</v>
      </c>
      <c r="K49" s="19">
        <v>3468</v>
      </c>
      <c r="L49" s="19"/>
      <c r="M49" s="19"/>
      <c r="N49" s="19"/>
      <c r="O49" s="19">
        <v>88</v>
      </c>
      <c r="P49" s="19">
        <f>K49+SUM(L49:O49)</f>
        <v>3556</v>
      </c>
      <c r="Q49" s="19">
        <v>569.29</v>
      </c>
      <c r="R49" s="20">
        <f>Q49/$P49</f>
        <v>0.16009280089988751</v>
      </c>
      <c r="S49" s="19">
        <v>1730.45</v>
      </c>
      <c r="T49" s="20">
        <f>S49/$P49</f>
        <v>0.48662823397075367</v>
      </c>
      <c r="U49" s="19">
        <v>2665</v>
      </c>
      <c r="V49" s="20">
        <f>U49/$P49</f>
        <v>0.74943757030371205</v>
      </c>
      <c r="W49" s="19">
        <v>3556</v>
      </c>
      <c r="X49" s="20">
        <f>W49/$P49</f>
        <v>1</v>
      </c>
      <c r="Y49" s="19">
        <v>3468</v>
      </c>
      <c r="Z49" s="19">
        <v>3468</v>
      </c>
    </row>
    <row r="50" spans="1:26" x14ac:dyDescent="0.25">
      <c r="A50" s="10">
        <v>1</v>
      </c>
      <c r="B50" s="10">
        <v>1</v>
      </c>
      <c r="C50" s="10">
        <v>3</v>
      </c>
      <c r="D50" s="7"/>
      <c r="E50" s="18">
        <v>620</v>
      </c>
      <c r="F50" s="18" t="s">
        <v>117</v>
      </c>
      <c r="G50" s="19">
        <v>1071.67</v>
      </c>
      <c r="H50" s="19">
        <v>2995.51</v>
      </c>
      <c r="I50" s="19">
        <v>3104</v>
      </c>
      <c r="J50" s="19">
        <v>2917.24</v>
      </c>
      <c r="K50" s="19">
        <v>1214</v>
      </c>
      <c r="L50" s="19"/>
      <c r="M50" s="19"/>
      <c r="N50" s="19"/>
      <c r="O50" s="19">
        <v>30</v>
      </c>
      <c r="P50" s="19">
        <f>K50+SUM(L50:O50)</f>
        <v>1244</v>
      </c>
      <c r="Q50" s="19">
        <v>201.71</v>
      </c>
      <c r="R50" s="20">
        <f>Q50/$P50</f>
        <v>0.16214630225080387</v>
      </c>
      <c r="S50" s="19">
        <v>604.59</v>
      </c>
      <c r="T50" s="20">
        <f>S50/$P50</f>
        <v>0.48600482315112542</v>
      </c>
      <c r="U50" s="19">
        <v>931.13</v>
      </c>
      <c r="V50" s="20">
        <f>U50/$P50</f>
        <v>0.7484967845659164</v>
      </c>
      <c r="W50" s="19">
        <v>1242.47</v>
      </c>
      <c r="X50" s="20">
        <f>W50/$P50</f>
        <v>0.99877009646302251</v>
      </c>
      <c r="Y50" s="19">
        <v>1214</v>
      </c>
      <c r="Z50" s="19">
        <v>1214</v>
      </c>
    </row>
    <row r="51" spans="1:26" x14ac:dyDescent="0.25">
      <c r="A51" s="10">
        <v>1</v>
      </c>
      <c r="B51" s="10">
        <v>1</v>
      </c>
      <c r="C51" s="10">
        <v>3</v>
      </c>
      <c r="D51" s="7"/>
      <c r="E51" s="18">
        <v>630</v>
      </c>
      <c r="F51" s="18" t="s">
        <v>118</v>
      </c>
      <c r="G51" s="19">
        <v>835.4</v>
      </c>
      <c r="H51" s="19">
        <v>969.53</v>
      </c>
      <c r="I51" s="19">
        <v>1077</v>
      </c>
      <c r="J51" s="19">
        <v>1220.3399999999999</v>
      </c>
      <c r="K51" s="19">
        <v>1697</v>
      </c>
      <c r="L51" s="19"/>
      <c r="M51" s="19"/>
      <c r="N51" s="19"/>
      <c r="O51" s="19">
        <v>1827</v>
      </c>
      <c r="P51" s="19">
        <f>K51+SUM(L51:O51)</f>
        <v>3524</v>
      </c>
      <c r="Q51" s="19">
        <v>45.63</v>
      </c>
      <c r="R51" s="20">
        <f>Q51/$P51</f>
        <v>1.2948354143019297E-2</v>
      </c>
      <c r="S51" s="19">
        <v>104.87</v>
      </c>
      <c r="T51" s="20">
        <f>S51/$P51</f>
        <v>2.9758796821793419E-2</v>
      </c>
      <c r="U51" s="19">
        <v>1470.15</v>
      </c>
      <c r="V51" s="20">
        <f>U51/$P51</f>
        <v>0.41718217934165724</v>
      </c>
      <c r="W51" s="19">
        <v>3523.71</v>
      </c>
      <c r="X51" s="20">
        <f>W51/$P51</f>
        <v>0.99991770715096484</v>
      </c>
      <c r="Y51" s="19">
        <v>1697</v>
      </c>
      <c r="Z51" s="19">
        <v>1697</v>
      </c>
    </row>
    <row r="52" spans="1:26" x14ac:dyDescent="0.25">
      <c r="A52" s="10">
        <v>1</v>
      </c>
      <c r="B52" s="10">
        <v>1</v>
      </c>
      <c r="C52" s="10">
        <v>3</v>
      </c>
      <c r="D52" s="69" t="s">
        <v>97</v>
      </c>
      <c r="E52" s="21">
        <v>41</v>
      </c>
      <c r="F52" s="21" t="s">
        <v>56</v>
      </c>
      <c r="G52" s="22">
        <f t="shared" ref="G52:Q52" si="26">SUM(G49:G51)</f>
        <v>4974.2699999999995</v>
      </c>
      <c r="H52" s="22">
        <f t="shared" si="26"/>
        <v>12498.26</v>
      </c>
      <c r="I52" s="22">
        <f t="shared" si="26"/>
        <v>13063</v>
      </c>
      <c r="J52" s="22">
        <f t="shared" si="26"/>
        <v>12448.32</v>
      </c>
      <c r="K52" s="22">
        <f t="shared" si="26"/>
        <v>6379</v>
      </c>
      <c r="L52" s="22">
        <f t="shared" si="26"/>
        <v>0</v>
      </c>
      <c r="M52" s="22">
        <f t="shared" si="26"/>
        <v>0</v>
      </c>
      <c r="N52" s="22">
        <f t="shared" si="26"/>
        <v>0</v>
      </c>
      <c r="O52" s="22">
        <f t="shared" si="26"/>
        <v>1945</v>
      </c>
      <c r="P52" s="22">
        <f t="shared" si="26"/>
        <v>8324</v>
      </c>
      <c r="Q52" s="22">
        <f t="shared" si="26"/>
        <v>816.63</v>
      </c>
      <c r="R52" s="23">
        <f>Q52/$P52</f>
        <v>9.8105478135511778E-2</v>
      </c>
      <c r="S52" s="22">
        <f>SUM(S49:S51)</f>
        <v>2439.91</v>
      </c>
      <c r="T52" s="23">
        <f>S52/$P52</f>
        <v>0.29311749159058142</v>
      </c>
      <c r="U52" s="22">
        <f>SUM(U49:U51)</f>
        <v>5066.2800000000007</v>
      </c>
      <c r="V52" s="23">
        <f>U52/$P52</f>
        <v>0.6086352715040847</v>
      </c>
      <c r="W52" s="22">
        <f>SUM(W49:W51)</f>
        <v>8322.18</v>
      </c>
      <c r="X52" s="23">
        <f>W52/$P52</f>
        <v>0.99978135511773192</v>
      </c>
      <c r="Y52" s="22">
        <f>SUM(Y49:Y51)</f>
        <v>6379</v>
      </c>
      <c r="Z52" s="22">
        <f>SUM(Z49:Z51)</f>
        <v>6379</v>
      </c>
    </row>
    <row r="53" spans="1:26" x14ac:dyDescent="0.25">
      <c r="D53" s="38"/>
      <c r="E53" s="39"/>
      <c r="F53" s="39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2"/>
      <c r="S53" s="71"/>
      <c r="T53" s="72"/>
      <c r="U53" s="71"/>
      <c r="V53" s="72"/>
      <c r="W53" s="71"/>
      <c r="X53" s="72"/>
      <c r="Y53" s="71"/>
      <c r="Z53" s="71"/>
    </row>
    <row r="54" spans="1:26" x14ac:dyDescent="0.25">
      <c r="D54" s="2" t="s">
        <v>124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D55" s="16" t="s">
        <v>33</v>
      </c>
      <c r="E55" s="16" t="s">
        <v>34</v>
      </c>
      <c r="F55" s="16" t="s">
        <v>35</v>
      </c>
      <c r="G55" s="16" t="s">
        <v>1</v>
      </c>
      <c r="H55" s="16" t="s">
        <v>2</v>
      </c>
      <c r="I55" s="16" t="s">
        <v>3</v>
      </c>
      <c r="J55" s="16" t="s">
        <v>4</v>
      </c>
      <c r="K55" s="16" t="s">
        <v>5</v>
      </c>
      <c r="L55" s="16" t="s">
        <v>6</v>
      </c>
      <c r="M55" s="16" t="s">
        <v>7</v>
      </c>
      <c r="N55" s="16" t="s">
        <v>8</v>
      </c>
      <c r="O55" s="16" t="s">
        <v>9</v>
      </c>
      <c r="P55" s="16" t="s">
        <v>10</v>
      </c>
      <c r="Q55" s="16" t="s">
        <v>11</v>
      </c>
      <c r="R55" s="17" t="s">
        <v>12</v>
      </c>
      <c r="S55" s="16" t="s">
        <v>13</v>
      </c>
      <c r="T55" s="17" t="s">
        <v>14</v>
      </c>
      <c r="U55" s="16" t="s">
        <v>15</v>
      </c>
      <c r="V55" s="17" t="s">
        <v>16</v>
      </c>
      <c r="W55" s="16" t="s">
        <v>17</v>
      </c>
      <c r="X55" s="17" t="s">
        <v>18</v>
      </c>
      <c r="Y55" s="16" t="s">
        <v>19</v>
      </c>
      <c r="Z55" s="16" t="s">
        <v>20</v>
      </c>
    </row>
    <row r="56" spans="1:26" x14ac:dyDescent="0.25">
      <c r="A56" s="10">
        <v>1</v>
      </c>
      <c r="B56" s="10">
        <v>1</v>
      </c>
      <c r="C56" s="10">
        <v>4</v>
      </c>
      <c r="D56" s="79" t="s">
        <v>115</v>
      </c>
      <c r="E56" s="18">
        <v>630</v>
      </c>
      <c r="F56" s="18" t="s">
        <v>118</v>
      </c>
      <c r="G56" s="19">
        <v>7401.58</v>
      </c>
      <c r="H56" s="19">
        <v>6343.63</v>
      </c>
      <c r="I56" s="19">
        <v>12926</v>
      </c>
      <c r="J56" s="19">
        <v>11444.65</v>
      </c>
      <c r="K56" s="19">
        <v>16872</v>
      </c>
      <c r="L56" s="19"/>
      <c r="M56" s="19"/>
      <c r="N56" s="19"/>
      <c r="O56" s="19">
        <v>1825</v>
      </c>
      <c r="P56" s="19">
        <f>K56+SUM(L56:O56)</f>
        <v>18697</v>
      </c>
      <c r="Q56" s="19">
        <v>3349.55</v>
      </c>
      <c r="R56" s="20">
        <f>Q56/$P56</f>
        <v>0.17914906134674013</v>
      </c>
      <c r="S56" s="19">
        <v>7010.69</v>
      </c>
      <c r="T56" s="20">
        <f>S56/$P56</f>
        <v>0.37496336310638068</v>
      </c>
      <c r="U56" s="19">
        <v>8745.34</v>
      </c>
      <c r="V56" s="20">
        <f>U56/$P56</f>
        <v>0.46774027918917477</v>
      </c>
      <c r="W56" s="19">
        <v>11905.01</v>
      </c>
      <c r="X56" s="20">
        <f>W56/$P56</f>
        <v>0.63673370059367818</v>
      </c>
      <c r="Y56" s="19">
        <v>16872</v>
      </c>
      <c r="Z56" s="19">
        <v>16872</v>
      </c>
    </row>
    <row r="57" spans="1:26" x14ac:dyDescent="0.25">
      <c r="A57" s="10">
        <v>1</v>
      </c>
      <c r="B57" s="10">
        <v>1</v>
      </c>
      <c r="C57" s="10">
        <v>4</v>
      </c>
      <c r="D57" s="79" t="s">
        <v>123</v>
      </c>
      <c r="E57" s="18">
        <v>630</v>
      </c>
      <c r="F57" s="18" t="s">
        <v>125</v>
      </c>
      <c r="G57" s="19">
        <v>1233.48</v>
      </c>
      <c r="H57" s="19">
        <v>1678.89</v>
      </c>
      <c r="I57" s="19">
        <v>1385</v>
      </c>
      <c r="J57" s="19">
        <v>248.86</v>
      </c>
      <c r="K57" s="19">
        <v>258</v>
      </c>
      <c r="L57" s="19">
        <v>80</v>
      </c>
      <c r="M57" s="19"/>
      <c r="N57" s="19"/>
      <c r="O57" s="19">
        <v>98</v>
      </c>
      <c r="P57" s="19">
        <f>K57+SUM(L57:O57)</f>
        <v>436</v>
      </c>
      <c r="Q57" s="19">
        <v>42.78</v>
      </c>
      <c r="R57" s="20">
        <f>Q57/$P57</f>
        <v>9.8119266055045867E-2</v>
      </c>
      <c r="S57" s="19">
        <v>161.11000000000001</v>
      </c>
      <c r="T57" s="20">
        <f>S57/$P57</f>
        <v>0.36951834862385324</v>
      </c>
      <c r="U57" s="19">
        <v>250.61</v>
      </c>
      <c r="V57" s="20">
        <f>U57/$P57</f>
        <v>0.57479357798165143</v>
      </c>
      <c r="W57" s="19">
        <v>430.98</v>
      </c>
      <c r="X57" s="20">
        <f>W57/$P57</f>
        <v>0.98848623853211015</v>
      </c>
      <c r="Y57" s="19">
        <v>258</v>
      </c>
      <c r="Z57" s="19">
        <v>258</v>
      </c>
    </row>
    <row r="58" spans="1:26" x14ac:dyDescent="0.25">
      <c r="A58" s="10">
        <v>1</v>
      </c>
      <c r="B58" s="10">
        <v>1</v>
      </c>
      <c r="C58" s="10">
        <v>4</v>
      </c>
      <c r="D58" s="69" t="s">
        <v>97</v>
      </c>
      <c r="E58" s="21">
        <v>41</v>
      </c>
      <c r="F58" s="21" t="s">
        <v>56</v>
      </c>
      <c r="G58" s="22">
        <f t="shared" ref="G58:Q58" si="27">SUM(G56:G57)</f>
        <v>8635.06</v>
      </c>
      <c r="H58" s="22">
        <f t="shared" si="27"/>
        <v>8022.52</v>
      </c>
      <c r="I58" s="22">
        <f t="shared" si="27"/>
        <v>14311</v>
      </c>
      <c r="J58" s="22">
        <f t="shared" si="27"/>
        <v>11693.51</v>
      </c>
      <c r="K58" s="22">
        <f t="shared" si="27"/>
        <v>17130</v>
      </c>
      <c r="L58" s="22">
        <f t="shared" si="27"/>
        <v>80</v>
      </c>
      <c r="M58" s="22">
        <f t="shared" si="27"/>
        <v>0</v>
      </c>
      <c r="N58" s="22">
        <f t="shared" si="27"/>
        <v>0</v>
      </c>
      <c r="O58" s="22">
        <f t="shared" si="27"/>
        <v>1923</v>
      </c>
      <c r="P58" s="22">
        <f t="shared" si="27"/>
        <v>19133</v>
      </c>
      <c r="Q58" s="22">
        <f t="shared" si="27"/>
        <v>3392.3300000000004</v>
      </c>
      <c r="R58" s="23">
        <f>Q58/$P58</f>
        <v>0.17730256624679874</v>
      </c>
      <c r="S58" s="22">
        <f>SUM(S56:S57)</f>
        <v>7171.7999999999993</v>
      </c>
      <c r="T58" s="23">
        <f>S58/$P58</f>
        <v>0.37483928291433644</v>
      </c>
      <c r="U58" s="22">
        <f>SUM(U56:U57)</f>
        <v>8995.9500000000007</v>
      </c>
      <c r="V58" s="23">
        <f>U58/$P58</f>
        <v>0.47017979407306754</v>
      </c>
      <c r="W58" s="22">
        <f>SUM(W56:W57)</f>
        <v>12335.99</v>
      </c>
      <c r="X58" s="23">
        <f>W58/$P58</f>
        <v>0.64474938587780273</v>
      </c>
      <c r="Y58" s="22">
        <f>SUM(Y56:Y57)</f>
        <v>17130</v>
      </c>
      <c r="Z58" s="22">
        <f>SUM(Z56:Z57)</f>
        <v>17130</v>
      </c>
    </row>
    <row r="59" spans="1:26" x14ac:dyDescent="0.25">
      <c r="D59" s="38"/>
      <c r="E59" s="39"/>
      <c r="F59" s="39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2"/>
      <c r="S59" s="71"/>
      <c r="T59" s="72"/>
      <c r="U59" s="71"/>
      <c r="V59" s="72"/>
      <c r="W59" s="71"/>
      <c r="X59" s="72"/>
      <c r="Y59" s="71"/>
      <c r="Z59" s="71"/>
    </row>
    <row r="60" spans="1:26" x14ac:dyDescent="0.25">
      <c r="D60" s="38"/>
      <c r="E60" s="44" t="s">
        <v>57</v>
      </c>
      <c r="F60" s="24" t="s">
        <v>126</v>
      </c>
      <c r="G60" s="45"/>
      <c r="H60" s="45">
        <v>1429.84</v>
      </c>
      <c r="I60" s="45">
        <v>5000</v>
      </c>
      <c r="J60" s="45">
        <v>2674.89</v>
      </c>
      <c r="K60" s="45">
        <v>5000</v>
      </c>
      <c r="L60" s="45"/>
      <c r="M60" s="45"/>
      <c r="N60" s="45"/>
      <c r="O60" s="45"/>
      <c r="P60" s="45">
        <f>K60+SUM(L60:O60)</f>
        <v>5000</v>
      </c>
      <c r="Q60" s="45">
        <v>1065.26</v>
      </c>
      <c r="R60" s="46">
        <f>Q60/$P60</f>
        <v>0.21305199999999999</v>
      </c>
      <c r="S60" s="45">
        <v>2113.89</v>
      </c>
      <c r="T60" s="46">
        <f>S60/$P60</f>
        <v>0.42277799999999999</v>
      </c>
      <c r="U60" s="45">
        <v>2113.89</v>
      </c>
      <c r="V60" s="46">
        <f>U60/$P60</f>
        <v>0.42277799999999999</v>
      </c>
      <c r="W60" s="45">
        <v>2328.19</v>
      </c>
      <c r="X60" s="47">
        <f>W60/$P60</f>
        <v>0.465638</v>
      </c>
      <c r="Y60" s="45">
        <f>K60</f>
        <v>5000</v>
      </c>
      <c r="Z60" s="48">
        <f>Y60</f>
        <v>5000</v>
      </c>
    </row>
    <row r="61" spans="1:26" x14ac:dyDescent="0.25">
      <c r="D61" s="38"/>
      <c r="E61" s="49"/>
      <c r="F61" s="10" t="s">
        <v>127</v>
      </c>
      <c r="G61" s="51">
        <v>1504.69</v>
      </c>
      <c r="H61" s="51">
        <v>1469.79</v>
      </c>
      <c r="I61" s="51">
        <v>1600</v>
      </c>
      <c r="J61" s="51">
        <v>1563.13</v>
      </c>
      <c r="K61" s="51">
        <v>1600</v>
      </c>
      <c r="L61" s="51"/>
      <c r="M61" s="51"/>
      <c r="N61" s="51"/>
      <c r="O61" s="51"/>
      <c r="P61" s="51">
        <f>K61+SUM(L61:O61)</f>
        <v>1600</v>
      </c>
      <c r="Q61" s="51">
        <v>350</v>
      </c>
      <c r="R61" s="11">
        <f>Q61/$P61</f>
        <v>0.21875</v>
      </c>
      <c r="S61" s="51">
        <v>700</v>
      </c>
      <c r="T61" s="11">
        <f>S61/$P61</f>
        <v>0.4375</v>
      </c>
      <c r="U61" s="51">
        <v>1050</v>
      </c>
      <c r="V61" s="11">
        <f>U61/$P61</f>
        <v>0.65625</v>
      </c>
      <c r="W61" s="51">
        <v>1400</v>
      </c>
      <c r="X61" s="52">
        <f>W61/$P61</f>
        <v>0.875</v>
      </c>
      <c r="Y61" s="51">
        <f>K61</f>
        <v>1600</v>
      </c>
      <c r="Z61" s="53">
        <f>Y61</f>
        <v>1600</v>
      </c>
    </row>
    <row r="62" spans="1:26" x14ac:dyDescent="0.25">
      <c r="D62" s="38"/>
      <c r="E62" s="57"/>
      <c r="F62" s="70" t="s">
        <v>128</v>
      </c>
      <c r="G62" s="59"/>
      <c r="H62" s="59"/>
      <c r="I62" s="59"/>
      <c r="J62" s="59"/>
      <c r="K62" s="59">
        <v>3000</v>
      </c>
      <c r="L62" s="59"/>
      <c r="M62" s="59"/>
      <c r="N62" s="59"/>
      <c r="O62" s="59"/>
      <c r="P62" s="59">
        <f>K62+SUM(L62:O62)</f>
        <v>3000</v>
      </c>
      <c r="Q62" s="59">
        <v>0</v>
      </c>
      <c r="R62" s="60">
        <f>Q62/$P62</f>
        <v>0</v>
      </c>
      <c r="S62" s="59">
        <v>0</v>
      </c>
      <c r="T62" s="60">
        <f>S62/$P62</f>
        <v>0</v>
      </c>
      <c r="U62" s="59">
        <v>0</v>
      </c>
      <c r="V62" s="60">
        <f>U62/$P62</f>
        <v>0</v>
      </c>
      <c r="W62" s="59">
        <v>0</v>
      </c>
      <c r="X62" s="61">
        <f>W62/$P62</f>
        <v>0</v>
      </c>
      <c r="Y62" s="59">
        <f>K62</f>
        <v>3000</v>
      </c>
      <c r="Z62" s="62">
        <f>Y62</f>
        <v>3000</v>
      </c>
    </row>
    <row r="63" spans="1:26" x14ac:dyDescent="0.25">
      <c r="D63" s="38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S63" s="51"/>
      <c r="U63" s="51"/>
      <c r="W63" s="51"/>
      <c r="Y63" s="51"/>
      <c r="Z63" s="51"/>
    </row>
    <row r="64" spans="1:26" x14ac:dyDescent="0.25">
      <c r="D64" s="2" t="s">
        <v>129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D65" s="16" t="s">
        <v>33</v>
      </c>
      <c r="E65" s="16" t="s">
        <v>34</v>
      </c>
      <c r="F65" s="16" t="s">
        <v>35</v>
      </c>
      <c r="G65" s="16" t="s">
        <v>1</v>
      </c>
      <c r="H65" s="16" t="s">
        <v>2</v>
      </c>
      <c r="I65" s="16" t="s">
        <v>3</v>
      </c>
      <c r="J65" s="16" t="s">
        <v>4</v>
      </c>
      <c r="K65" s="16" t="s">
        <v>5</v>
      </c>
      <c r="L65" s="16" t="s">
        <v>6</v>
      </c>
      <c r="M65" s="16" t="s">
        <v>7</v>
      </c>
      <c r="N65" s="16" t="s">
        <v>8</v>
      </c>
      <c r="O65" s="16" t="s">
        <v>9</v>
      </c>
      <c r="P65" s="16" t="s">
        <v>10</v>
      </c>
      <c r="Q65" s="16" t="s">
        <v>11</v>
      </c>
      <c r="R65" s="17" t="s">
        <v>12</v>
      </c>
      <c r="S65" s="16" t="s">
        <v>13</v>
      </c>
      <c r="T65" s="17" t="s">
        <v>14</v>
      </c>
      <c r="U65" s="16" t="s">
        <v>15</v>
      </c>
      <c r="V65" s="17" t="s">
        <v>16</v>
      </c>
      <c r="W65" s="16" t="s">
        <v>17</v>
      </c>
      <c r="X65" s="17" t="s">
        <v>18</v>
      </c>
      <c r="Y65" s="16" t="s">
        <v>19</v>
      </c>
      <c r="Z65" s="16" t="s">
        <v>20</v>
      </c>
    </row>
    <row r="66" spans="1:26" x14ac:dyDescent="0.25">
      <c r="A66" s="10">
        <v>1</v>
      </c>
      <c r="B66" s="10">
        <v>1</v>
      </c>
      <c r="C66" s="10">
        <v>5</v>
      </c>
      <c r="D66" s="1" t="s">
        <v>123</v>
      </c>
      <c r="E66" s="18">
        <v>610</v>
      </c>
      <c r="F66" s="18" t="s">
        <v>116</v>
      </c>
      <c r="G66" s="19">
        <v>9962.61</v>
      </c>
      <c r="H66" s="19">
        <v>8873.92</v>
      </c>
      <c r="I66" s="19">
        <v>13448</v>
      </c>
      <c r="J66" s="19">
        <v>10928.43</v>
      </c>
      <c r="K66" s="19">
        <v>16670</v>
      </c>
      <c r="L66" s="19">
        <v>-140</v>
      </c>
      <c r="M66" s="19"/>
      <c r="N66" s="19">
        <v>-2279</v>
      </c>
      <c r="O66" s="19"/>
      <c r="P66" s="19">
        <f>K66+SUM(L66:O66)</f>
        <v>14251</v>
      </c>
      <c r="Q66" s="19">
        <v>1890.32</v>
      </c>
      <c r="R66" s="20">
        <f>Q66/$P66</f>
        <v>0.13264472668584659</v>
      </c>
      <c r="S66" s="19">
        <v>4061.56</v>
      </c>
      <c r="T66" s="20">
        <f>S66/$P66</f>
        <v>0.28500175426285873</v>
      </c>
      <c r="U66" s="19">
        <v>5723.06</v>
      </c>
      <c r="V66" s="20">
        <f>U66/$P66</f>
        <v>0.4015900638551681</v>
      </c>
      <c r="W66" s="19">
        <v>6672.36</v>
      </c>
      <c r="X66" s="20">
        <f>W66/$P66</f>
        <v>0.46820293312749978</v>
      </c>
      <c r="Y66" s="19">
        <v>17309</v>
      </c>
      <c r="Z66" s="19">
        <v>17973</v>
      </c>
    </row>
    <row r="67" spans="1:26" x14ac:dyDescent="0.25">
      <c r="A67" s="10">
        <v>1</v>
      </c>
      <c r="B67" s="10">
        <v>1</v>
      </c>
      <c r="C67" s="10">
        <v>5</v>
      </c>
      <c r="D67" s="1" t="s">
        <v>130</v>
      </c>
      <c r="E67" s="18">
        <v>620</v>
      </c>
      <c r="F67" s="18" t="s">
        <v>117</v>
      </c>
      <c r="G67" s="19">
        <v>4827.18</v>
      </c>
      <c r="H67" s="19">
        <v>4568.1899999999996</v>
      </c>
      <c r="I67" s="19">
        <v>5492</v>
      </c>
      <c r="J67" s="19">
        <v>4371.55</v>
      </c>
      <c r="K67" s="19">
        <v>6484</v>
      </c>
      <c r="L67" s="19"/>
      <c r="M67" s="19"/>
      <c r="N67" s="19">
        <v>-1083</v>
      </c>
      <c r="O67" s="19"/>
      <c r="P67" s="19">
        <f>K67+SUM(L67:O67)</f>
        <v>5401</v>
      </c>
      <c r="Q67" s="19">
        <v>670.89</v>
      </c>
      <c r="R67" s="20">
        <f>Q67/$P67</f>
        <v>0.12421588594704684</v>
      </c>
      <c r="S67" s="19">
        <v>1358.85</v>
      </c>
      <c r="T67" s="20">
        <f>S67/$P67</f>
        <v>0.25159229772264396</v>
      </c>
      <c r="U67" s="19">
        <v>1919.67</v>
      </c>
      <c r="V67" s="20">
        <f>U67/$P67</f>
        <v>0.35542862432882799</v>
      </c>
      <c r="W67" s="19">
        <v>2591.4</v>
      </c>
      <c r="X67" s="20">
        <f>W67/$P67</f>
        <v>0.47980003703017959</v>
      </c>
      <c r="Y67" s="19">
        <v>6720</v>
      </c>
      <c r="Z67" s="19">
        <v>6966</v>
      </c>
    </row>
    <row r="68" spans="1:26" x14ac:dyDescent="0.25">
      <c r="A68" s="10">
        <v>1</v>
      </c>
      <c r="B68" s="10">
        <v>1</v>
      </c>
      <c r="C68" s="10">
        <v>5</v>
      </c>
      <c r="D68" s="1" t="s">
        <v>131</v>
      </c>
      <c r="E68" s="18">
        <v>630</v>
      </c>
      <c r="F68" s="18" t="s">
        <v>118</v>
      </c>
      <c r="G68" s="19">
        <v>44422.16</v>
      </c>
      <c r="H68" s="19">
        <v>29090.17</v>
      </c>
      <c r="I68" s="19">
        <v>31879</v>
      </c>
      <c r="J68" s="19">
        <v>30313.57</v>
      </c>
      <c r="K68" s="19">
        <v>30867</v>
      </c>
      <c r="L68" s="19"/>
      <c r="M68" s="19"/>
      <c r="N68" s="19">
        <v>283</v>
      </c>
      <c r="O68" s="19">
        <v>2648</v>
      </c>
      <c r="P68" s="19">
        <f>K68+SUM(L68:O68)</f>
        <v>33798</v>
      </c>
      <c r="Q68" s="19">
        <v>4676.76</v>
      </c>
      <c r="R68" s="20">
        <f>Q68/$P68</f>
        <v>0.13837386827622936</v>
      </c>
      <c r="S68" s="19">
        <v>10096.64</v>
      </c>
      <c r="T68" s="20">
        <f>S68/$P68</f>
        <v>0.29873483638085091</v>
      </c>
      <c r="U68" s="19">
        <v>15416.5</v>
      </c>
      <c r="V68" s="20">
        <f>U68/$P68</f>
        <v>0.45613645777856676</v>
      </c>
      <c r="W68" s="19">
        <v>26003.759999999998</v>
      </c>
      <c r="X68" s="20">
        <f>W68/$P68</f>
        <v>0.7693875377241256</v>
      </c>
      <c r="Y68" s="19">
        <v>30753</v>
      </c>
      <c r="Z68" s="19">
        <v>30785</v>
      </c>
    </row>
    <row r="69" spans="1:26" x14ac:dyDescent="0.25">
      <c r="D69" s="1" t="s">
        <v>132</v>
      </c>
      <c r="E69" s="18">
        <v>640</v>
      </c>
      <c r="F69" s="18" t="s">
        <v>119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140</v>
      </c>
      <c r="M69" s="19"/>
      <c r="N69" s="19">
        <v>79</v>
      </c>
      <c r="O69" s="19"/>
      <c r="P69" s="19">
        <f>K69+SUM(L69:O69)</f>
        <v>219</v>
      </c>
      <c r="Q69" s="19">
        <v>139.31</v>
      </c>
      <c r="R69" s="20">
        <f>Q69/$P69</f>
        <v>0.6361187214611872</v>
      </c>
      <c r="S69" s="19">
        <v>139.31</v>
      </c>
      <c r="T69" s="20">
        <f>S69/$P69</f>
        <v>0.6361187214611872</v>
      </c>
      <c r="U69" s="19">
        <v>139.31</v>
      </c>
      <c r="V69" s="20">
        <f>U69/$P69</f>
        <v>0.6361187214611872</v>
      </c>
      <c r="W69" s="19">
        <v>218.53</v>
      </c>
      <c r="X69" s="20">
        <f>W69/$P69</f>
        <v>0.9978538812785388</v>
      </c>
      <c r="Y69" s="19">
        <v>0</v>
      </c>
      <c r="Z69" s="19">
        <v>0</v>
      </c>
    </row>
    <row r="70" spans="1:26" x14ac:dyDescent="0.25">
      <c r="A70" s="10">
        <v>1</v>
      </c>
      <c r="B70" s="10">
        <v>1</v>
      </c>
      <c r="C70" s="10">
        <v>5</v>
      </c>
      <c r="D70" s="69" t="s">
        <v>97</v>
      </c>
      <c r="E70" s="21">
        <v>41</v>
      </c>
      <c r="F70" s="21" t="s">
        <v>56</v>
      </c>
      <c r="G70" s="22">
        <f t="shared" ref="G70:Q70" si="28">SUM(G66:G69)</f>
        <v>59211.950000000004</v>
      </c>
      <c r="H70" s="22">
        <f t="shared" si="28"/>
        <v>42532.28</v>
      </c>
      <c r="I70" s="22">
        <f t="shared" si="28"/>
        <v>50819</v>
      </c>
      <c r="J70" s="22">
        <f t="shared" si="28"/>
        <v>45613.55</v>
      </c>
      <c r="K70" s="22">
        <f t="shared" si="28"/>
        <v>54021</v>
      </c>
      <c r="L70" s="22">
        <f t="shared" si="28"/>
        <v>0</v>
      </c>
      <c r="M70" s="22">
        <f t="shared" si="28"/>
        <v>0</v>
      </c>
      <c r="N70" s="22">
        <f t="shared" si="28"/>
        <v>-3000</v>
      </c>
      <c r="O70" s="22">
        <f t="shared" si="28"/>
        <v>2648</v>
      </c>
      <c r="P70" s="22">
        <f t="shared" si="28"/>
        <v>53669</v>
      </c>
      <c r="Q70" s="22">
        <f t="shared" si="28"/>
        <v>7377.2800000000007</v>
      </c>
      <c r="R70" s="23">
        <f>Q70/$P70</f>
        <v>0.13745886824796438</v>
      </c>
      <c r="S70" s="22">
        <f>SUM(S66:S69)</f>
        <v>15656.359999999999</v>
      </c>
      <c r="T70" s="23">
        <f>S70/$P70</f>
        <v>0.29172073263895354</v>
      </c>
      <c r="U70" s="22">
        <f>SUM(U66:U69)</f>
        <v>23198.54</v>
      </c>
      <c r="V70" s="23">
        <f>U70/$P70</f>
        <v>0.43225213810579666</v>
      </c>
      <c r="W70" s="22">
        <f>SUM(W66:W69)</f>
        <v>35486.049999999996</v>
      </c>
      <c r="X70" s="23">
        <f>W70/$P70</f>
        <v>0.66120199742868313</v>
      </c>
      <c r="Y70" s="22">
        <f>SUM(Y66:Y69)</f>
        <v>54782</v>
      </c>
      <c r="Z70" s="22">
        <f>SUM(Z66:Z69)</f>
        <v>55724</v>
      </c>
    </row>
    <row r="71" spans="1:26" x14ac:dyDescent="0.25">
      <c r="D71" s="38"/>
      <c r="E71" s="39"/>
      <c r="F71" s="39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2"/>
      <c r="S71" s="71"/>
      <c r="T71" s="72"/>
      <c r="U71" s="71"/>
      <c r="V71" s="72"/>
      <c r="W71" s="71"/>
      <c r="X71" s="72"/>
      <c r="Y71" s="71"/>
      <c r="Z71" s="71"/>
    </row>
    <row r="72" spans="1:26" x14ac:dyDescent="0.25">
      <c r="D72" s="38"/>
      <c r="E72" s="44" t="s">
        <v>57</v>
      </c>
      <c r="F72" s="24" t="s">
        <v>133</v>
      </c>
      <c r="G72" s="45">
        <v>1551.53</v>
      </c>
      <c r="H72" s="45">
        <v>1275.6400000000001</v>
      </c>
      <c r="I72" s="45">
        <v>1815</v>
      </c>
      <c r="J72" s="45">
        <v>1815</v>
      </c>
      <c r="K72" s="45">
        <f>J72</f>
        <v>1815</v>
      </c>
      <c r="L72" s="45">
        <v>-209</v>
      </c>
      <c r="M72" s="45"/>
      <c r="N72" s="45"/>
      <c r="O72" s="45"/>
      <c r="P72" s="45">
        <f>K72+SUM(L72:O72)</f>
        <v>1606</v>
      </c>
      <c r="Q72" s="45">
        <v>146</v>
      </c>
      <c r="R72" s="46">
        <f>Q72/$P72</f>
        <v>9.0909090909090912E-2</v>
      </c>
      <c r="S72" s="45">
        <v>730</v>
      </c>
      <c r="T72" s="46">
        <f>S72/$P72</f>
        <v>0.45454545454545453</v>
      </c>
      <c r="U72" s="45">
        <v>1168</v>
      </c>
      <c r="V72" s="46">
        <f>U72/$P72</f>
        <v>0.72727272727272729</v>
      </c>
      <c r="W72" s="45">
        <v>1606</v>
      </c>
      <c r="X72" s="47">
        <f>W72/$P72</f>
        <v>1</v>
      </c>
      <c r="Y72" s="45">
        <f>K72</f>
        <v>1815</v>
      </c>
      <c r="Z72" s="48">
        <f>Y72</f>
        <v>1815</v>
      </c>
    </row>
    <row r="73" spans="1:26" x14ac:dyDescent="0.25">
      <c r="D73" s="38"/>
      <c r="E73" s="49"/>
      <c r="F73" s="10" t="s">
        <v>134</v>
      </c>
      <c r="G73" s="51">
        <v>13302.77</v>
      </c>
      <c r="H73" s="51">
        <v>6633.22</v>
      </c>
      <c r="I73" s="51">
        <v>9000</v>
      </c>
      <c r="J73" s="51">
        <v>9000</v>
      </c>
      <c r="K73" s="51">
        <f>J73</f>
        <v>9000</v>
      </c>
      <c r="L73" s="51">
        <v>-1872</v>
      </c>
      <c r="M73" s="51"/>
      <c r="N73" s="51"/>
      <c r="O73" s="51"/>
      <c r="P73" s="51">
        <f>K73+SUM(L73:O73)</f>
        <v>7128</v>
      </c>
      <c r="Q73" s="51">
        <v>1782</v>
      </c>
      <c r="R73" s="11">
        <f>Q73/$P73</f>
        <v>0.25</v>
      </c>
      <c r="S73" s="51">
        <v>3564</v>
      </c>
      <c r="T73" s="11">
        <f>S73/$P73</f>
        <v>0.5</v>
      </c>
      <c r="U73" s="51">
        <v>5346</v>
      </c>
      <c r="V73" s="11">
        <f>U73/$P73</f>
        <v>0.75</v>
      </c>
      <c r="W73" s="51">
        <v>7128</v>
      </c>
      <c r="X73" s="52">
        <f>W73/$P73</f>
        <v>1</v>
      </c>
      <c r="Y73" s="51">
        <f>K73</f>
        <v>9000</v>
      </c>
      <c r="Z73" s="53">
        <f>Y73</f>
        <v>9000</v>
      </c>
    </row>
    <row r="74" spans="1:26" x14ac:dyDescent="0.25">
      <c r="D74" s="38"/>
      <c r="E74" s="57"/>
      <c r="F74" s="70" t="s">
        <v>135</v>
      </c>
      <c r="G74" s="59">
        <v>8608.93</v>
      </c>
      <c r="H74" s="59">
        <v>7394.98</v>
      </c>
      <c r="I74" s="59">
        <v>8850</v>
      </c>
      <c r="J74" s="59">
        <v>6116.13</v>
      </c>
      <c r="K74" s="59">
        <v>6200</v>
      </c>
      <c r="L74" s="59"/>
      <c r="M74" s="59"/>
      <c r="N74" s="59"/>
      <c r="O74" s="59">
        <v>1503</v>
      </c>
      <c r="P74" s="59">
        <f>K74+SUM(L74:O74)</f>
        <v>7703</v>
      </c>
      <c r="Q74" s="59">
        <v>1080.99</v>
      </c>
      <c r="R74" s="60">
        <f>Q74/$P74</f>
        <v>0.14033363624561859</v>
      </c>
      <c r="S74" s="59">
        <v>2229.1</v>
      </c>
      <c r="T74" s="60">
        <f>S74/$P74</f>
        <v>0.2893807607425678</v>
      </c>
      <c r="U74" s="59">
        <v>3373.83</v>
      </c>
      <c r="V74" s="60">
        <f>U74/$P74</f>
        <v>0.43798909515773077</v>
      </c>
      <c r="W74" s="59">
        <v>4050.55</v>
      </c>
      <c r="X74" s="61">
        <f>W74/$P74</f>
        <v>0.52584058159158775</v>
      </c>
      <c r="Y74" s="59">
        <f>K74</f>
        <v>6200</v>
      </c>
      <c r="Z74" s="62">
        <f>Y74</f>
        <v>6200</v>
      </c>
    </row>
    <row r="75" spans="1:26" x14ac:dyDescent="0.25">
      <c r="D75" s="38"/>
      <c r="E75" s="39"/>
      <c r="F75" s="39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2"/>
      <c r="S75" s="71"/>
      <c r="T75" s="72"/>
      <c r="U75" s="71"/>
      <c r="V75" s="72"/>
      <c r="W75" s="71"/>
      <c r="X75" s="72"/>
      <c r="Y75" s="71"/>
      <c r="Z75" s="71"/>
    </row>
    <row r="76" spans="1:26" x14ac:dyDescent="0.25">
      <c r="D76" s="2" t="s">
        <v>136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D77" s="16" t="s">
        <v>33</v>
      </c>
      <c r="E77" s="16" t="s">
        <v>34</v>
      </c>
      <c r="F77" s="16" t="s">
        <v>35</v>
      </c>
      <c r="G77" s="16" t="s">
        <v>1</v>
      </c>
      <c r="H77" s="16" t="s">
        <v>2</v>
      </c>
      <c r="I77" s="16" t="s">
        <v>3</v>
      </c>
      <c r="J77" s="16" t="s">
        <v>4</v>
      </c>
      <c r="K77" s="16" t="s">
        <v>5</v>
      </c>
      <c r="L77" s="16" t="s">
        <v>6</v>
      </c>
      <c r="M77" s="16" t="s">
        <v>7</v>
      </c>
      <c r="N77" s="16" t="s">
        <v>8</v>
      </c>
      <c r="O77" s="16" t="s">
        <v>9</v>
      </c>
      <c r="P77" s="16" t="s">
        <v>10</v>
      </c>
      <c r="Q77" s="16" t="s">
        <v>11</v>
      </c>
      <c r="R77" s="17" t="s">
        <v>12</v>
      </c>
      <c r="S77" s="16" t="s">
        <v>13</v>
      </c>
      <c r="T77" s="17" t="s">
        <v>14</v>
      </c>
      <c r="U77" s="16" t="s">
        <v>15</v>
      </c>
      <c r="V77" s="17" t="s">
        <v>16</v>
      </c>
      <c r="W77" s="16" t="s">
        <v>17</v>
      </c>
      <c r="X77" s="17" t="s">
        <v>18</v>
      </c>
      <c r="Y77" s="16" t="s">
        <v>19</v>
      </c>
      <c r="Z77" s="16" t="s">
        <v>20</v>
      </c>
    </row>
    <row r="78" spans="1:26" x14ac:dyDescent="0.25">
      <c r="A78" s="10">
        <v>1</v>
      </c>
      <c r="B78" s="10">
        <v>1</v>
      </c>
      <c r="C78" s="10">
        <v>6</v>
      </c>
      <c r="D78" s="7" t="s">
        <v>115</v>
      </c>
      <c r="E78" s="18">
        <v>630</v>
      </c>
      <c r="F78" s="18" t="s">
        <v>118</v>
      </c>
      <c r="G78" s="19">
        <v>929.4</v>
      </c>
      <c r="H78" s="19">
        <v>935.21</v>
      </c>
      <c r="I78" s="19">
        <v>5193</v>
      </c>
      <c r="J78" s="19">
        <v>1157.9000000000001</v>
      </c>
      <c r="K78" s="19">
        <f>1400+4000</f>
        <v>5400</v>
      </c>
      <c r="L78" s="19"/>
      <c r="M78" s="19"/>
      <c r="N78" s="19"/>
      <c r="O78" s="19"/>
      <c r="P78" s="19">
        <f>K78+SUM(L78:O78)</f>
        <v>5400</v>
      </c>
      <c r="Q78" s="19">
        <v>1003.8</v>
      </c>
      <c r="R78" s="20">
        <f>Q78/$P78</f>
        <v>0.18588888888888888</v>
      </c>
      <c r="S78" s="19">
        <v>1842.67</v>
      </c>
      <c r="T78" s="20">
        <f>S78/$P78</f>
        <v>0.3412351851851852</v>
      </c>
      <c r="U78" s="19">
        <v>2303</v>
      </c>
      <c r="V78" s="20">
        <f>U78/$P78</f>
        <v>0.42648148148148146</v>
      </c>
      <c r="W78" s="19">
        <v>3239</v>
      </c>
      <c r="X78" s="20">
        <f>W78/$P78</f>
        <v>0.5998148148148148</v>
      </c>
      <c r="Y78" s="19">
        <v>1400</v>
      </c>
      <c r="Z78" s="19">
        <v>1400</v>
      </c>
    </row>
    <row r="79" spans="1:26" x14ac:dyDescent="0.25">
      <c r="A79" s="10">
        <v>1</v>
      </c>
      <c r="B79" s="10">
        <v>1</v>
      </c>
      <c r="C79" s="10">
        <v>6</v>
      </c>
      <c r="D79" s="7"/>
      <c r="E79" s="18">
        <v>640</v>
      </c>
      <c r="F79" s="18" t="s">
        <v>119</v>
      </c>
      <c r="G79" s="19">
        <v>0</v>
      </c>
      <c r="H79" s="19">
        <v>1000</v>
      </c>
      <c r="I79" s="19">
        <v>0</v>
      </c>
      <c r="J79" s="19">
        <v>0</v>
      </c>
      <c r="K79" s="19">
        <v>0</v>
      </c>
      <c r="L79" s="19"/>
      <c r="M79" s="19"/>
      <c r="N79" s="19"/>
      <c r="O79" s="19"/>
      <c r="P79" s="19">
        <f>K79+SUM(L79:O79)</f>
        <v>0</v>
      </c>
      <c r="Q79" s="19">
        <v>0</v>
      </c>
      <c r="R79" s="20" t="e">
        <f>Q79/$P79</f>
        <v>#DIV/0!</v>
      </c>
      <c r="S79" s="19">
        <v>0</v>
      </c>
      <c r="T79" s="20" t="e">
        <f>S79/$P79</f>
        <v>#DIV/0!</v>
      </c>
      <c r="U79" s="19">
        <v>0</v>
      </c>
      <c r="V79" s="20" t="e">
        <f>U79/$P79</f>
        <v>#DIV/0!</v>
      </c>
      <c r="W79" s="19">
        <v>0</v>
      </c>
      <c r="X79" s="20" t="e">
        <f>W79/$P79</f>
        <v>#DIV/0!</v>
      </c>
      <c r="Y79" s="19">
        <v>0</v>
      </c>
      <c r="Z79" s="19">
        <v>0</v>
      </c>
    </row>
    <row r="80" spans="1:26" x14ac:dyDescent="0.25">
      <c r="A80" s="10">
        <v>1</v>
      </c>
      <c r="B80" s="10">
        <v>1</v>
      </c>
      <c r="C80" s="10">
        <v>6</v>
      </c>
      <c r="D80" s="69" t="s">
        <v>97</v>
      </c>
      <c r="E80" s="21">
        <v>41</v>
      </c>
      <c r="F80" s="21" t="s">
        <v>56</v>
      </c>
      <c r="G80" s="22">
        <f t="shared" ref="G80:Q80" si="29">SUM(G78:G79)</f>
        <v>929.4</v>
      </c>
      <c r="H80" s="22">
        <f t="shared" si="29"/>
        <v>1935.21</v>
      </c>
      <c r="I80" s="22">
        <f t="shared" si="29"/>
        <v>5193</v>
      </c>
      <c r="J80" s="22">
        <f t="shared" si="29"/>
        <v>1157.9000000000001</v>
      </c>
      <c r="K80" s="22">
        <f t="shared" si="29"/>
        <v>5400</v>
      </c>
      <c r="L80" s="22">
        <f t="shared" si="29"/>
        <v>0</v>
      </c>
      <c r="M80" s="22">
        <f t="shared" si="29"/>
        <v>0</v>
      </c>
      <c r="N80" s="22">
        <f t="shared" si="29"/>
        <v>0</v>
      </c>
      <c r="O80" s="22">
        <f t="shared" si="29"/>
        <v>0</v>
      </c>
      <c r="P80" s="22">
        <f t="shared" si="29"/>
        <v>5400</v>
      </c>
      <c r="Q80" s="22">
        <f t="shared" si="29"/>
        <v>1003.8</v>
      </c>
      <c r="R80" s="23">
        <f>Q80/$P80</f>
        <v>0.18588888888888888</v>
      </c>
      <c r="S80" s="22">
        <f>SUM(S78:S79)</f>
        <v>1842.67</v>
      </c>
      <c r="T80" s="23">
        <f>S80/$P80</f>
        <v>0.3412351851851852</v>
      </c>
      <c r="U80" s="22">
        <f>SUM(U78:U79)</f>
        <v>2303</v>
      </c>
      <c r="V80" s="23">
        <f>U80/$P80</f>
        <v>0.42648148148148146</v>
      </c>
      <c r="W80" s="22">
        <f>SUM(W78:W79)</f>
        <v>3239</v>
      </c>
      <c r="X80" s="23">
        <f>W80/$P80</f>
        <v>0.5998148148148148</v>
      </c>
      <c r="Y80" s="22">
        <f>SUM(Y78:Y79)</f>
        <v>1400</v>
      </c>
      <c r="Z80" s="22">
        <f>SUM(Z78:Z79)</f>
        <v>1400</v>
      </c>
    </row>
    <row r="81" spans="1:26" x14ac:dyDescent="0.25">
      <c r="D81" s="38"/>
      <c r="E81" s="39"/>
      <c r="F81" s="39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2"/>
      <c r="S81" s="71"/>
      <c r="T81" s="72"/>
      <c r="U81" s="71"/>
      <c r="V81" s="72"/>
      <c r="W81" s="71"/>
      <c r="X81" s="72"/>
      <c r="Y81" s="71"/>
      <c r="Z81" s="71"/>
    </row>
    <row r="82" spans="1:26" x14ac:dyDescent="0.25">
      <c r="D82" s="2" t="s">
        <v>137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D83" s="16" t="s">
        <v>33</v>
      </c>
      <c r="E83" s="16" t="s">
        <v>34</v>
      </c>
      <c r="F83" s="16" t="s">
        <v>35</v>
      </c>
      <c r="G83" s="16" t="s">
        <v>1</v>
      </c>
      <c r="H83" s="16" t="s">
        <v>2</v>
      </c>
      <c r="I83" s="16" t="s">
        <v>3</v>
      </c>
      <c r="J83" s="16" t="s">
        <v>4</v>
      </c>
      <c r="K83" s="16" t="s">
        <v>5</v>
      </c>
      <c r="L83" s="16" t="s">
        <v>6</v>
      </c>
      <c r="M83" s="16" t="s">
        <v>7</v>
      </c>
      <c r="N83" s="16" t="s">
        <v>8</v>
      </c>
      <c r="O83" s="16" t="s">
        <v>9</v>
      </c>
      <c r="P83" s="16" t="s">
        <v>10</v>
      </c>
      <c r="Q83" s="16" t="s">
        <v>11</v>
      </c>
      <c r="R83" s="17" t="s">
        <v>12</v>
      </c>
      <c r="S83" s="16" t="s">
        <v>13</v>
      </c>
      <c r="T83" s="17" t="s">
        <v>14</v>
      </c>
      <c r="U83" s="16" t="s">
        <v>15</v>
      </c>
      <c r="V83" s="17" t="s">
        <v>16</v>
      </c>
      <c r="W83" s="16" t="s">
        <v>17</v>
      </c>
      <c r="X83" s="17" t="s">
        <v>18</v>
      </c>
      <c r="Y83" s="16" t="s">
        <v>19</v>
      </c>
      <c r="Z83" s="16" t="s">
        <v>20</v>
      </c>
    </row>
    <row r="84" spans="1:26" x14ac:dyDescent="0.25">
      <c r="A84" s="10">
        <v>1</v>
      </c>
      <c r="B84" s="10">
        <v>1</v>
      </c>
      <c r="C84" s="10">
        <v>7</v>
      </c>
      <c r="D84" s="7" t="s">
        <v>138</v>
      </c>
      <c r="E84" s="18">
        <v>610</v>
      </c>
      <c r="F84" s="18" t="s">
        <v>116</v>
      </c>
      <c r="G84" s="19">
        <v>1453.56</v>
      </c>
      <c r="H84" s="19">
        <v>2806.77</v>
      </c>
      <c r="I84" s="19">
        <v>3178</v>
      </c>
      <c r="J84" s="19">
        <v>2931.84</v>
      </c>
      <c r="K84" s="19">
        <v>2921</v>
      </c>
      <c r="L84" s="19"/>
      <c r="M84" s="19"/>
      <c r="N84" s="19"/>
      <c r="O84" s="19">
        <v>322</v>
      </c>
      <c r="P84" s="19">
        <f>K84+SUM(L84:O84)</f>
        <v>3243</v>
      </c>
      <c r="Q84" s="19">
        <v>0</v>
      </c>
      <c r="R84" s="20">
        <f t="shared" ref="R84:R93" si="30">Q84/$P84</f>
        <v>0</v>
      </c>
      <c r="S84" s="19">
        <v>1611.45</v>
      </c>
      <c r="T84" s="20">
        <f t="shared" ref="T84:T93" si="31">S84/$P84</f>
        <v>0.49690101757631822</v>
      </c>
      <c r="U84" s="19">
        <v>2427.71</v>
      </c>
      <c r="V84" s="20">
        <f t="shared" ref="V84:V93" si="32">U84/$P84</f>
        <v>0.74860006167129201</v>
      </c>
      <c r="W84" s="19">
        <v>3243.5</v>
      </c>
      <c r="X84" s="20">
        <f t="shared" ref="X84:X93" si="33">W84/$P84</f>
        <v>1.0001541782300338</v>
      </c>
      <c r="Y84" s="19">
        <f>K84</f>
        <v>2921</v>
      </c>
      <c r="Z84" s="19">
        <f>Y84</f>
        <v>2921</v>
      </c>
    </row>
    <row r="85" spans="1:26" x14ac:dyDescent="0.25">
      <c r="A85" s="10">
        <v>1</v>
      </c>
      <c r="B85" s="10">
        <v>1</v>
      </c>
      <c r="C85" s="10">
        <v>7</v>
      </c>
      <c r="D85" s="7"/>
      <c r="E85" s="18">
        <v>620</v>
      </c>
      <c r="F85" s="18" t="s">
        <v>117</v>
      </c>
      <c r="G85" s="19">
        <v>508.02</v>
      </c>
      <c r="H85" s="19">
        <v>993.39</v>
      </c>
      <c r="I85" s="19">
        <v>818</v>
      </c>
      <c r="J85" s="19">
        <v>1024.67</v>
      </c>
      <c r="K85" s="19">
        <v>1021</v>
      </c>
      <c r="L85" s="19"/>
      <c r="M85" s="19"/>
      <c r="N85" s="19"/>
      <c r="O85" s="19">
        <v>153</v>
      </c>
      <c r="P85" s="19">
        <f>K85+SUM(L85:O85)</f>
        <v>1174</v>
      </c>
      <c r="Q85" s="19">
        <v>0</v>
      </c>
      <c r="R85" s="20">
        <f t="shared" si="30"/>
        <v>0</v>
      </c>
      <c r="S85" s="19">
        <v>566.36</v>
      </c>
      <c r="T85" s="20">
        <f t="shared" si="31"/>
        <v>0.4824190800681431</v>
      </c>
      <c r="U85" s="19">
        <v>853.24</v>
      </c>
      <c r="V85" s="20">
        <f t="shared" si="32"/>
        <v>0.72678023850085183</v>
      </c>
      <c r="W85" s="19">
        <v>1173.3900000000001</v>
      </c>
      <c r="X85" s="20">
        <f t="shared" si="33"/>
        <v>0.99948040885860312</v>
      </c>
      <c r="Y85" s="19">
        <f>K85</f>
        <v>1021</v>
      </c>
      <c r="Z85" s="19">
        <f>Y85</f>
        <v>1021</v>
      </c>
    </row>
    <row r="86" spans="1:26" x14ac:dyDescent="0.25">
      <c r="A86" s="10">
        <v>1</v>
      </c>
      <c r="B86" s="10">
        <v>1</v>
      </c>
      <c r="C86" s="10">
        <v>7</v>
      </c>
      <c r="D86" s="7"/>
      <c r="E86" s="18">
        <v>630</v>
      </c>
      <c r="F86" s="18" t="s">
        <v>118</v>
      </c>
      <c r="G86" s="19">
        <v>2916.15</v>
      </c>
      <c r="H86" s="19">
        <v>1050.26</v>
      </c>
      <c r="I86" s="19">
        <v>585</v>
      </c>
      <c r="J86" s="19">
        <v>1086.0899999999999</v>
      </c>
      <c r="K86" s="19">
        <v>1100</v>
      </c>
      <c r="L86" s="19"/>
      <c r="M86" s="19"/>
      <c r="N86" s="19"/>
      <c r="O86" s="19">
        <v>-246</v>
      </c>
      <c r="P86" s="19">
        <f>K86+SUM(L86:O86)</f>
        <v>854</v>
      </c>
      <c r="Q86" s="19">
        <v>99.02</v>
      </c>
      <c r="R86" s="20">
        <f t="shared" si="30"/>
        <v>0.11594847775175643</v>
      </c>
      <c r="S86" s="19">
        <v>386.7</v>
      </c>
      <c r="T86" s="20">
        <f t="shared" si="31"/>
        <v>0.4528103044496487</v>
      </c>
      <c r="U86" s="19">
        <v>471</v>
      </c>
      <c r="V86" s="20">
        <f t="shared" si="32"/>
        <v>0.55152224824355967</v>
      </c>
      <c r="W86" s="19">
        <v>747.96</v>
      </c>
      <c r="X86" s="20">
        <f t="shared" si="33"/>
        <v>0.87583138173302111</v>
      </c>
      <c r="Y86" s="19">
        <f>K86</f>
        <v>1100</v>
      </c>
      <c r="Z86" s="19">
        <f>Y86</f>
        <v>1100</v>
      </c>
    </row>
    <row r="87" spans="1:26" x14ac:dyDescent="0.25">
      <c r="A87" s="10">
        <v>1</v>
      </c>
      <c r="B87" s="10">
        <v>1</v>
      </c>
      <c r="C87" s="10">
        <v>7</v>
      </c>
      <c r="D87" s="80" t="s">
        <v>97</v>
      </c>
      <c r="E87" s="81">
        <v>111</v>
      </c>
      <c r="F87" s="81" t="s">
        <v>139</v>
      </c>
      <c r="G87" s="82">
        <f t="shared" ref="G87:Q87" si="34">SUM(G84:G86)</f>
        <v>4877.7299999999996</v>
      </c>
      <c r="H87" s="82">
        <f t="shared" si="34"/>
        <v>4850.42</v>
      </c>
      <c r="I87" s="82">
        <f t="shared" si="34"/>
        <v>4581</v>
      </c>
      <c r="J87" s="82">
        <f t="shared" si="34"/>
        <v>5042.6000000000004</v>
      </c>
      <c r="K87" s="82">
        <f t="shared" si="34"/>
        <v>5042</v>
      </c>
      <c r="L87" s="82">
        <f t="shared" si="34"/>
        <v>0</v>
      </c>
      <c r="M87" s="82">
        <f t="shared" si="34"/>
        <v>0</v>
      </c>
      <c r="N87" s="82">
        <f t="shared" si="34"/>
        <v>0</v>
      </c>
      <c r="O87" s="82">
        <f t="shared" si="34"/>
        <v>229</v>
      </c>
      <c r="P87" s="82">
        <f t="shared" si="34"/>
        <v>5271</v>
      </c>
      <c r="Q87" s="82">
        <f t="shared" si="34"/>
        <v>99.02</v>
      </c>
      <c r="R87" s="83">
        <f t="shared" si="30"/>
        <v>1.8785809144374881E-2</v>
      </c>
      <c r="S87" s="82">
        <f>SUM(S84:S86)</f>
        <v>2564.5099999999998</v>
      </c>
      <c r="T87" s="83">
        <f t="shared" si="31"/>
        <v>0.4865319673686207</v>
      </c>
      <c r="U87" s="82">
        <f>SUM(U84:U86)</f>
        <v>3751.95</v>
      </c>
      <c r="V87" s="83">
        <f t="shared" si="32"/>
        <v>0.71180990324416615</v>
      </c>
      <c r="W87" s="82">
        <f>SUM(W84:W86)</f>
        <v>5164.8500000000004</v>
      </c>
      <c r="X87" s="83">
        <f t="shared" si="33"/>
        <v>0.97986150635553038</v>
      </c>
      <c r="Y87" s="82">
        <f>SUM(Y84:Y86)</f>
        <v>5042</v>
      </c>
      <c r="Z87" s="82">
        <f>SUM(Z84:Z86)</f>
        <v>5042</v>
      </c>
    </row>
    <row r="88" spans="1:26" x14ac:dyDescent="0.25">
      <c r="A88" s="10">
        <v>1</v>
      </c>
      <c r="B88" s="10">
        <v>1</v>
      </c>
      <c r="C88" s="10">
        <v>7</v>
      </c>
      <c r="D88" s="7" t="s">
        <v>138</v>
      </c>
      <c r="E88" s="18">
        <v>610</v>
      </c>
      <c r="F88" s="18" t="s">
        <v>116</v>
      </c>
      <c r="G88" s="19">
        <f>5325.31-1453.56</f>
        <v>3871.7500000000005</v>
      </c>
      <c r="H88" s="19">
        <v>3976.09</v>
      </c>
      <c r="I88" s="19">
        <v>4251</v>
      </c>
      <c r="J88" s="19">
        <v>3638.86</v>
      </c>
      <c r="K88" s="19">
        <v>4980</v>
      </c>
      <c r="L88" s="19">
        <v>500</v>
      </c>
      <c r="M88" s="19"/>
      <c r="N88" s="19"/>
      <c r="O88" s="19">
        <v>-268</v>
      </c>
      <c r="P88" s="19">
        <f>K88+SUM(L88:O88)</f>
        <v>5212</v>
      </c>
      <c r="Q88" s="19">
        <f>778.18+804</f>
        <v>1582.1799999999998</v>
      </c>
      <c r="R88" s="20">
        <f t="shared" si="30"/>
        <v>0.30356485034535685</v>
      </c>
      <c r="S88" s="19">
        <v>2450.73</v>
      </c>
      <c r="T88" s="20">
        <f t="shared" si="31"/>
        <v>0.47020913277052956</v>
      </c>
      <c r="U88" s="19">
        <v>3700.66</v>
      </c>
      <c r="V88" s="20">
        <f t="shared" si="32"/>
        <v>0.71002686108979274</v>
      </c>
      <c r="W88" s="19">
        <v>5211.74</v>
      </c>
      <c r="X88" s="20">
        <f t="shared" si="33"/>
        <v>0.99995011511895626</v>
      </c>
      <c r="Y88" s="19">
        <v>5169</v>
      </c>
      <c r="Z88" s="19">
        <v>5366</v>
      </c>
    </row>
    <row r="89" spans="1:26" x14ac:dyDescent="0.25">
      <c r="A89" s="10">
        <v>1</v>
      </c>
      <c r="B89" s="10">
        <v>1</v>
      </c>
      <c r="C89" s="10">
        <v>7</v>
      </c>
      <c r="D89" s="7"/>
      <c r="E89" s="18">
        <v>620</v>
      </c>
      <c r="F89" s="18" t="s">
        <v>117</v>
      </c>
      <c r="G89" s="19">
        <f>0.73+1969.71-508.02</f>
        <v>1462.42</v>
      </c>
      <c r="H89" s="19">
        <v>1455.23</v>
      </c>
      <c r="I89" s="19">
        <v>1927</v>
      </c>
      <c r="J89" s="19">
        <v>1510.32</v>
      </c>
      <c r="K89" s="19">
        <v>1930</v>
      </c>
      <c r="L89" s="19"/>
      <c r="M89" s="19"/>
      <c r="N89" s="19"/>
      <c r="O89" s="19">
        <v>52</v>
      </c>
      <c r="P89" s="19">
        <f>K89+SUM(L89:O89)</f>
        <v>1982</v>
      </c>
      <c r="Q89" s="19">
        <v>490.91</v>
      </c>
      <c r="R89" s="20">
        <f t="shared" si="30"/>
        <v>0.24768415741675076</v>
      </c>
      <c r="S89" s="19">
        <v>957.64</v>
      </c>
      <c r="T89" s="20">
        <f t="shared" si="31"/>
        <v>0.48316851664984861</v>
      </c>
      <c r="U89" s="19">
        <v>1438.27</v>
      </c>
      <c r="V89" s="20">
        <f t="shared" si="32"/>
        <v>0.72566599394550957</v>
      </c>
      <c r="W89" s="19">
        <v>1982.47</v>
      </c>
      <c r="X89" s="20">
        <f t="shared" si="33"/>
        <v>1.0002371342078709</v>
      </c>
      <c r="Y89" s="19">
        <v>2001</v>
      </c>
      <c r="Z89" s="19">
        <v>2074</v>
      </c>
    </row>
    <row r="90" spans="1:26" x14ac:dyDescent="0.25">
      <c r="A90" s="10">
        <v>1</v>
      </c>
      <c r="B90" s="10">
        <v>1</v>
      </c>
      <c r="C90" s="10">
        <v>7</v>
      </c>
      <c r="D90" s="7"/>
      <c r="E90" s="18">
        <v>630</v>
      </c>
      <c r="F90" s="18" t="s">
        <v>118</v>
      </c>
      <c r="G90" s="19">
        <v>402.28</v>
      </c>
      <c r="H90" s="19">
        <v>483.43</v>
      </c>
      <c r="I90" s="19">
        <v>1056</v>
      </c>
      <c r="J90" s="19">
        <v>709.62</v>
      </c>
      <c r="K90" s="19">
        <v>874</v>
      </c>
      <c r="L90" s="19"/>
      <c r="M90" s="19"/>
      <c r="N90" s="19"/>
      <c r="O90" s="19">
        <v>-13</v>
      </c>
      <c r="P90" s="19">
        <f>K90+SUM(L90:O90)</f>
        <v>861</v>
      </c>
      <c r="Q90" s="19">
        <v>212.7</v>
      </c>
      <c r="R90" s="20">
        <f t="shared" si="30"/>
        <v>0.24703832752613239</v>
      </c>
      <c r="S90" s="19">
        <v>439.49</v>
      </c>
      <c r="T90" s="20">
        <f t="shared" si="31"/>
        <v>0.51044134727061552</v>
      </c>
      <c r="U90" s="19">
        <v>595.46</v>
      </c>
      <c r="V90" s="20">
        <f t="shared" si="32"/>
        <v>0.69159117305458773</v>
      </c>
      <c r="W90" s="19">
        <v>821.19</v>
      </c>
      <c r="X90" s="20">
        <f t="shared" si="33"/>
        <v>0.95376306620209061</v>
      </c>
      <c r="Y90" s="19">
        <v>962</v>
      </c>
      <c r="Z90" s="19">
        <v>879</v>
      </c>
    </row>
    <row r="91" spans="1:26" x14ac:dyDescent="0.25">
      <c r="A91" s="10">
        <v>1</v>
      </c>
      <c r="B91" s="10">
        <v>1</v>
      </c>
      <c r="C91" s="10">
        <v>7</v>
      </c>
      <c r="D91" s="7"/>
      <c r="E91" s="18">
        <v>640</v>
      </c>
      <c r="F91" s="18" t="s">
        <v>119</v>
      </c>
      <c r="G91" s="19">
        <v>79.510000000000005</v>
      </c>
      <c r="H91" s="19">
        <v>86.87</v>
      </c>
      <c r="I91" s="19">
        <v>0</v>
      </c>
      <c r="J91" s="19">
        <v>233.09</v>
      </c>
      <c r="K91" s="19">
        <v>0</v>
      </c>
      <c r="L91" s="19"/>
      <c r="M91" s="19"/>
      <c r="N91" s="19"/>
      <c r="O91" s="19"/>
      <c r="P91" s="19">
        <f>K91+SUM(L91:O91)</f>
        <v>0</v>
      </c>
      <c r="Q91" s="19">
        <v>0</v>
      </c>
      <c r="R91" s="20" t="e">
        <f t="shared" si="30"/>
        <v>#DIV/0!</v>
      </c>
      <c r="S91" s="19">
        <v>0</v>
      </c>
      <c r="T91" s="20" t="e">
        <f t="shared" si="31"/>
        <v>#DIV/0!</v>
      </c>
      <c r="U91" s="19">
        <v>0</v>
      </c>
      <c r="V91" s="20" t="e">
        <f t="shared" si="32"/>
        <v>#DIV/0!</v>
      </c>
      <c r="W91" s="19">
        <v>0</v>
      </c>
      <c r="X91" s="20" t="e">
        <f t="shared" si="33"/>
        <v>#DIV/0!</v>
      </c>
      <c r="Y91" s="19">
        <v>0</v>
      </c>
      <c r="Z91" s="19">
        <v>0</v>
      </c>
    </row>
    <row r="92" spans="1:26" x14ac:dyDescent="0.25">
      <c r="A92" s="10">
        <v>1</v>
      </c>
      <c r="B92" s="10">
        <v>1</v>
      </c>
      <c r="C92" s="10">
        <v>7</v>
      </c>
      <c r="D92" s="80" t="s">
        <v>97</v>
      </c>
      <c r="E92" s="81">
        <v>41</v>
      </c>
      <c r="F92" s="81" t="s">
        <v>56</v>
      </c>
      <c r="G92" s="82">
        <f t="shared" ref="G92:Q92" si="35">SUM(G88:G91)</f>
        <v>5815.96</v>
      </c>
      <c r="H92" s="82">
        <f t="shared" si="35"/>
        <v>6001.62</v>
      </c>
      <c r="I92" s="82">
        <f t="shared" si="35"/>
        <v>7234</v>
      </c>
      <c r="J92" s="82">
        <f t="shared" si="35"/>
        <v>6091.89</v>
      </c>
      <c r="K92" s="82">
        <f t="shared" si="35"/>
        <v>7784</v>
      </c>
      <c r="L92" s="82">
        <f t="shared" si="35"/>
        <v>500</v>
      </c>
      <c r="M92" s="82">
        <f t="shared" si="35"/>
        <v>0</v>
      </c>
      <c r="N92" s="82">
        <f t="shared" si="35"/>
        <v>0</v>
      </c>
      <c r="O92" s="82">
        <f t="shared" si="35"/>
        <v>-229</v>
      </c>
      <c r="P92" s="82">
        <f t="shared" si="35"/>
        <v>8055</v>
      </c>
      <c r="Q92" s="82">
        <f t="shared" si="35"/>
        <v>2285.7899999999995</v>
      </c>
      <c r="R92" s="83">
        <f t="shared" si="30"/>
        <v>0.28377281191806325</v>
      </c>
      <c r="S92" s="82">
        <f>SUM(S88:S91)</f>
        <v>3847.8599999999997</v>
      </c>
      <c r="T92" s="83">
        <f t="shared" si="31"/>
        <v>0.47769832402234635</v>
      </c>
      <c r="U92" s="82">
        <f>SUM(U88:U91)</f>
        <v>5734.39</v>
      </c>
      <c r="V92" s="83">
        <f t="shared" si="32"/>
        <v>0.71190440720049664</v>
      </c>
      <c r="W92" s="82">
        <f>SUM(W88:W91)</f>
        <v>8015.4</v>
      </c>
      <c r="X92" s="83">
        <f t="shared" si="33"/>
        <v>0.9950837988826815</v>
      </c>
      <c r="Y92" s="82">
        <f>SUM(Y88:Y91)</f>
        <v>8132</v>
      </c>
      <c r="Z92" s="82">
        <f>SUM(Z88:Z91)</f>
        <v>8319</v>
      </c>
    </row>
    <row r="93" spans="1:26" x14ac:dyDescent="0.25">
      <c r="A93" s="10">
        <v>1</v>
      </c>
      <c r="B93" s="10">
        <v>1</v>
      </c>
      <c r="C93" s="10">
        <v>7</v>
      </c>
      <c r="D93" s="24"/>
      <c r="E93" s="25"/>
      <c r="F93" s="21" t="s">
        <v>31</v>
      </c>
      <c r="G93" s="22">
        <f t="shared" ref="G93:Q93" si="36">G87+G92</f>
        <v>10693.689999999999</v>
      </c>
      <c r="H93" s="22">
        <f t="shared" si="36"/>
        <v>10852.04</v>
      </c>
      <c r="I93" s="22">
        <f t="shared" si="36"/>
        <v>11815</v>
      </c>
      <c r="J93" s="22">
        <f t="shared" si="36"/>
        <v>11134.490000000002</v>
      </c>
      <c r="K93" s="22">
        <f t="shared" si="36"/>
        <v>12826</v>
      </c>
      <c r="L93" s="22">
        <f t="shared" si="36"/>
        <v>500</v>
      </c>
      <c r="M93" s="22">
        <f t="shared" si="36"/>
        <v>0</v>
      </c>
      <c r="N93" s="22">
        <f t="shared" si="36"/>
        <v>0</v>
      </c>
      <c r="O93" s="22">
        <f t="shared" si="36"/>
        <v>0</v>
      </c>
      <c r="P93" s="22">
        <f t="shared" si="36"/>
        <v>13326</v>
      </c>
      <c r="Q93" s="22">
        <f t="shared" si="36"/>
        <v>2384.8099999999995</v>
      </c>
      <c r="R93" s="23">
        <f t="shared" si="30"/>
        <v>0.17895917754765117</v>
      </c>
      <c r="S93" s="22">
        <f>S87+S92</f>
        <v>6412.369999999999</v>
      </c>
      <c r="T93" s="23">
        <f t="shared" si="31"/>
        <v>0.48119240582320266</v>
      </c>
      <c r="U93" s="22">
        <f>U87+U92</f>
        <v>9486.34</v>
      </c>
      <c r="V93" s="23">
        <f t="shared" si="32"/>
        <v>0.71186702686477565</v>
      </c>
      <c r="W93" s="22">
        <f>W87+W92</f>
        <v>13180.25</v>
      </c>
      <c r="X93" s="23">
        <f t="shared" si="33"/>
        <v>0.98906273450397719</v>
      </c>
      <c r="Y93" s="22">
        <f>Y87+Y92</f>
        <v>13174</v>
      </c>
      <c r="Z93" s="22">
        <f>Z87+Z92</f>
        <v>13361</v>
      </c>
    </row>
    <row r="95" spans="1:26" x14ac:dyDescent="0.25">
      <c r="D95" s="3" t="s">
        <v>140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D96" s="16" t="s">
        <v>33</v>
      </c>
      <c r="E96" s="16" t="s">
        <v>34</v>
      </c>
      <c r="F96" s="16" t="s">
        <v>35</v>
      </c>
      <c r="G96" s="16" t="s">
        <v>1</v>
      </c>
      <c r="H96" s="16" t="s">
        <v>2</v>
      </c>
      <c r="I96" s="16" t="s">
        <v>3</v>
      </c>
      <c r="J96" s="16" t="s">
        <v>4</v>
      </c>
      <c r="K96" s="16" t="s">
        <v>5</v>
      </c>
      <c r="L96" s="16" t="s">
        <v>6</v>
      </c>
      <c r="M96" s="16" t="s">
        <v>7</v>
      </c>
      <c r="N96" s="16" t="s">
        <v>8</v>
      </c>
      <c r="O96" s="16" t="s">
        <v>9</v>
      </c>
      <c r="P96" s="16" t="s">
        <v>10</v>
      </c>
      <c r="Q96" s="16" t="s">
        <v>11</v>
      </c>
      <c r="R96" s="17" t="s">
        <v>12</v>
      </c>
      <c r="S96" s="16" t="s">
        <v>13</v>
      </c>
      <c r="T96" s="17" t="s">
        <v>14</v>
      </c>
      <c r="U96" s="16" t="s">
        <v>15</v>
      </c>
      <c r="V96" s="17" t="s">
        <v>16</v>
      </c>
      <c r="W96" s="16" t="s">
        <v>17</v>
      </c>
      <c r="X96" s="17" t="s">
        <v>18</v>
      </c>
      <c r="Y96" s="16" t="s">
        <v>19</v>
      </c>
      <c r="Z96" s="16" t="s">
        <v>20</v>
      </c>
    </row>
    <row r="97" spans="1:26" x14ac:dyDescent="0.25">
      <c r="A97" s="10">
        <v>1</v>
      </c>
      <c r="B97" s="10">
        <v>2</v>
      </c>
      <c r="D97" s="18" t="s">
        <v>115</v>
      </c>
      <c r="E97" s="18">
        <v>640</v>
      </c>
      <c r="F97" s="18" t="s">
        <v>85</v>
      </c>
      <c r="G97" s="19">
        <v>2958.33</v>
      </c>
      <c r="H97" s="19">
        <f>319.87+113.75+2945.31</f>
        <v>3378.93</v>
      </c>
      <c r="I97" s="19">
        <v>0</v>
      </c>
      <c r="J97" s="19">
        <v>2936.01</v>
      </c>
      <c r="K97" s="19">
        <v>2936</v>
      </c>
      <c r="L97" s="19"/>
      <c r="M97" s="19"/>
      <c r="N97" s="19"/>
      <c r="O97" s="19">
        <v>431</v>
      </c>
      <c r="P97" s="19">
        <f>K97+SUM(L97:O97)</f>
        <v>3367</v>
      </c>
      <c r="Q97" s="19">
        <v>0</v>
      </c>
      <c r="R97" s="20">
        <f t="shared" ref="R97:R103" si="37">Q97/$P97</f>
        <v>0</v>
      </c>
      <c r="S97" s="19">
        <v>3230.28</v>
      </c>
      <c r="T97" s="20">
        <f t="shared" ref="T97:T103" si="38">S97/$P97</f>
        <v>0.95939411939411945</v>
      </c>
      <c r="U97" s="19">
        <v>3366.62</v>
      </c>
      <c r="V97" s="20">
        <f t="shared" ref="V97:V103" si="39">U97/$P97</f>
        <v>0.99988713988713984</v>
      </c>
      <c r="W97" s="19">
        <v>3366.62</v>
      </c>
      <c r="X97" s="20">
        <f t="shared" ref="X97:X103" si="40">W97/$P97</f>
        <v>0.99988713988713984</v>
      </c>
      <c r="Y97" s="19">
        <f>K97</f>
        <v>2936</v>
      </c>
      <c r="Z97" s="19">
        <f>Y97</f>
        <v>2936</v>
      </c>
    </row>
    <row r="98" spans="1:26" x14ac:dyDescent="0.25">
      <c r="A98" s="10">
        <v>1</v>
      </c>
      <c r="B98" s="10">
        <v>2</v>
      </c>
      <c r="D98" s="80" t="s">
        <v>97</v>
      </c>
      <c r="E98" s="81">
        <v>111</v>
      </c>
      <c r="F98" s="81" t="s">
        <v>139</v>
      </c>
      <c r="G98" s="82">
        <f t="shared" ref="G98:Q98" si="41">SUM(G97)</f>
        <v>2958.33</v>
      </c>
      <c r="H98" s="82">
        <f t="shared" si="41"/>
        <v>3378.93</v>
      </c>
      <c r="I98" s="82">
        <f t="shared" si="41"/>
        <v>0</v>
      </c>
      <c r="J98" s="82">
        <f t="shared" si="41"/>
        <v>2936.01</v>
      </c>
      <c r="K98" s="82">
        <f t="shared" si="41"/>
        <v>2936</v>
      </c>
      <c r="L98" s="82">
        <f t="shared" si="41"/>
        <v>0</v>
      </c>
      <c r="M98" s="82">
        <f t="shared" si="41"/>
        <v>0</v>
      </c>
      <c r="N98" s="82">
        <f t="shared" si="41"/>
        <v>0</v>
      </c>
      <c r="O98" s="82">
        <f t="shared" si="41"/>
        <v>431</v>
      </c>
      <c r="P98" s="82">
        <f t="shared" si="41"/>
        <v>3367</v>
      </c>
      <c r="Q98" s="82">
        <f t="shared" si="41"/>
        <v>0</v>
      </c>
      <c r="R98" s="83">
        <f t="shared" si="37"/>
        <v>0</v>
      </c>
      <c r="S98" s="82">
        <f>SUM(S97)</f>
        <v>3230.28</v>
      </c>
      <c r="T98" s="83">
        <f t="shared" si="38"/>
        <v>0.95939411939411945</v>
      </c>
      <c r="U98" s="82">
        <f>SUM(U97)</f>
        <v>3366.62</v>
      </c>
      <c r="V98" s="83">
        <f t="shared" si="39"/>
        <v>0.99988713988713984</v>
      </c>
      <c r="W98" s="82">
        <f>SUM(W97)</f>
        <v>3366.62</v>
      </c>
      <c r="X98" s="83">
        <f t="shared" si="40"/>
        <v>0.99988713988713984</v>
      </c>
      <c r="Y98" s="82">
        <f>SUM(Y97)</f>
        <v>2936</v>
      </c>
      <c r="Z98" s="82">
        <f>SUM(Z97)</f>
        <v>2936</v>
      </c>
    </row>
    <row r="99" spans="1:26" x14ac:dyDescent="0.25">
      <c r="A99" s="10">
        <v>1</v>
      </c>
      <c r="B99" s="10">
        <v>2</v>
      </c>
      <c r="D99" s="37" t="s">
        <v>141</v>
      </c>
      <c r="E99" s="18">
        <v>640</v>
      </c>
      <c r="F99" s="18" t="s">
        <v>142</v>
      </c>
      <c r="G99" s="19">
        <v>790</v>
      </c>
      <c r="H99" s="19">
        <v>983.33</v>
      </c>
      <c r="I99" s="19">
        <v>1000</v>
      </c>
      <c r="J99" s="19">
        <v>447</v>
      </c>
      <c r="K99" s="19">
        <v>0</v>
      </c>
      <c r="L99" s="19">
        <v>95</v>
      </c>
      <c r="M99" s="19"/>
      <c r="N99" s="19"/>
      <c r="O99" s="19"/>
      <c r="P99" s="19">
        <f>K99+SUM(L99:O99)</f>
        <v>95</v>
      </c>
      <c r="Q99" s="19">
        <v>94.56</v>
      </c>
      <c r="R99" s="20">
        <f t="shared" si="37"/>
        <v>0.99536842105263157</v>
      </c>
      <c r="S99" s="19">
        <v>94.56</v>
      </c>
      <c r="T99" s="20">
        <f t="shared" si="38"/>
        <v>0.99536842105263157</v>
      </c>
      <c r="U99" s="19">
        <v>94.56</v>
      </c>
      <c r="V99" s="20">
        <f t="shared" si="39"/>
        <v>0.99536842105263157</v>
      </c>
      <c r="W99" s="19">
        <v>94.56</v>
      </c>
      <c r="X99" s="20">
        <f t="shared" si="40"/>
        <v>0.99536842105263157</v>
      </c>
      <c r="Y99" s="19">
        <v>0</v>
      </c>
      <c r="Z99" s="19">
        <v>0</v>
      </c>
    </row>
    <row r="100" spans="1:26" x14ac:dyDescent="0.25">
      <c r="A100" s="10">
        <v>1</v>
      </c>
      <c r="B100" s="10">
        <v>2</v>
      </c>
      <c r="D100" s="37" t="s">
        <v>143</v>
      </c>
      <c r="E100" s="18">
        <v>640</v>
      </c>
      <c r="F100" s="18" t="s">
        <v>144</v>
      </c>
      <c r="G100" s="19">
        <v>319.85000000000002</v>
      </c>
      <c r="H100" s="19">
        <v>351.72</v>
      </c>
      <c r="I100" s="19">
        <v>400</v>
      </c>
      <c r="J100" s="19">
        <v>376.16</v>
      </c>
      <c r="K100" s="19">
        <v>406</v>
      </c>
      <c r="L100" s="19"/>
      <c r="M100" s="19"/>
      <c r="N100" s="19"/>
      <c r="O100" s="19"/>
      <c r="P100" s="19">
        <f>K100+SUM(L100:O100)</f>
        <v>406</v>
      </c>
      <c r="Q100" s="19">
        <v>203.07</v>
      </c>
      <c r="R100" s="20">
        <f t="shared" si="37"/>
        <v>0.5001724137931034</v>
      </c>
      <c r="S100" s="19">
        <v>203.07</v>
      </c>
      <c r="T100" s="20">
        <f t="shared" si="38"/>
        <v>0.5001724137931034</v>
      </c>
      <c r="U100" s="19">
        <v>406.14</v>
      </c>
      <c r="V100" s="20">
        <f t="shared" si="39"/>
        <v>1.0003448275862068</v>
      </c>
      <c r="W100" s="19">
        <v>406.14</v>
      </c>
      <c r="X100" s="20">
        <f t="shared" si="40"/>
        <v>1.0003448275862068</v>
      </c>
      <c r="Y100" s="19">
        <v>438</v>
      </c>
      <c r="Z100" s="19">
        <v>473</v>
      </c>
    </row>
    <row r="101" spans="1:26" x14ac:dyDescent="0.25">
      <c r="A101" s="10">
        <v>1</v>
      </c>
      <c r="B101" s="10">
        <v>2</v>
      </c>
      <c r="D101" s="18" t="s">
        <v>115</v>
      </c>
      <c r="E101" s="18">
        <v>640</v>
      </c>
      <c r="F101" s="18" t="s">
        <v>85</v>
      </c>
      <c r="G101" s="19">
        <f>16+536.94+155.62+11015.12+3895.9+3505.09-2958.33</f>
        <v>16166.339999999998</v>
      </c>
      <c r="H101" s="19">
        <f>9389.01+3334.73+413.17+3052</f>
        <v>16188.91</v>
      </c>
      <c r="I101" s="19">
        <v>9918</v>
      </c>
      <c r="J101" s="19">
        <v>6981.99</v>
      </c>
      <c r="K101" s="19">
        <v>7444</v>
      </c>
      <c r="L101" s="19"/>
      <c r="M101" s="19"/>
      <c r="N101" s="19"/>
      <c r="O101" s="19">
        <v>199</v>
      </c>
      <c r="P101" s="19">
        <f>K101+SUM(L101:O101)</f>
        <v>7643</v>
      </c>
      <c r="Q101" s="19">
        <v>2594.9</v>
      </c>
      <c r="R101" s="20">
        <f t="shared" si="37"/>
        <v>0.33951328012560517</v>
      </c>
      <c r="S101" s="19">
        <v>1959.52</v>
      </c>
      <c r="T101" s="20">
        <f t="shared" si="38"/>
        <v>0.25638100222425747</v>
      </c>
      <c r="U101" s="19">
        <v>4418.08</v>
      </c>
      <c r="V101" s="20">
        <f t="shared" si="39"/>
        <v>0.57805573727593873</v>
      </c>
      <c r="W101" s="19">
        <v>7642.98</v>
      </c>
      <c r="X101" s="20">
        <f t="shared" si="40"/>
        <v>0.99999738322648168</v>
      </c>
      <c r="Y101" s="19">
        <v>7936</v>
      </c>
      <c r="Z101" s="19">
        <v>8461</v>
      </c>
    </row>
    <row r="102" spans="1:26" x14ac:dyDescent="0.25">
      <c r="A102" s="10">
        <v>1</v>
      </c>
      <c r="B102" s="10">
        <v>2</v>
      </c>
      <c r="D102" s="80" t="s">
        <v>97</v>
      </c>
      <c r="E102" s="81">
        <v>41</v>
      </c>
      <c r="F102" s="81" t="s">
        <v>56</v>
      </c>
      <c r="G102" s="82">
        <f t="shared" ref="G102:Q102" si="42">SUM(G99:G101)</f>
        <v>17276.189999999999</v>
      </c>
      <c r="H102" s="82">
        <f t="shared" si="42"/>
        <v>17523.96</v>
      </c>
      <c r="I102" s="82">
        <f t="shared" si="42"/>
        <v>11318</v>
      </c>
      <c r="J102" s="82">
        <f t="shared" si="42"/>
        <v>7805.15</v>
      </c>
      <c r="K102" s="82">
        <f t="shared" si="42"/>
        <v>7850</v>
      </c>
      <c r="L102" s="82">
        <f t="shared" si="42"/>
        <v>95</v>
      </c>
      <c r="M102" s="82">
        <f t="shared" si="42"/>
        <v>0</v>
      </c>
      <c r="N102" s="82">
        <f t="shared" si="42"/>
        <v>0</v>
      </c>
      <c r="O102" s="82">
        <f t="shared" si="42"/>
        <v>199</v>
      </c>
      <c r="P102" s="82">
        <f t="shared" si="42"/>
        <v>8144</v>
      </c>
      <c r="Q102" s="82">
        <f t="shared" si="42"/>
        <v>2892.53</v>
      </c>
      <c r="R102" s="83">
        <f t="shared" si="37"/>
        <v>0.35517313359528491</v>
      </c>
      <c r="S102" s="82">
        <f>SUM(S99:S101)</f>
        <v>2257.15</v>
      </c>
      <c r="T102" s="83">
        <f t="shared" si="38"/>
        <v>0.27715496070726919</v>
      </c>
      <c r="U102" s="82">
        <f>SUM(U99:U101)</f>
        <v>4918.78</v>
      </c>
      <c r="V102" s="83">
        <f t="shared" si="39"/>
        <v>0.60397593320235754</v>
      </c>
      <c r="W102" s="82">
        <f>SUM(W99:W101)</f>
        <v>8143.6799999999994</v>
      </c>
      <c r="X102" s="83">
        <f t="shared" si="40"/>
        <v>0.99996070726915509</v>
      </c>
      <c r="Y102" s="82">
        <f>SUM(Y99:Y101)</f>
        <v>8374</v>
      </c>
      <c r="Z102" s="82">
        <f>SUM(Z99:Z101)</f>
        <v>8934</v>
      </c>
    </row>
    <row r="103" spans="1:26" x14ac:dyDescent="0.25">
      <c r="A103" s="10">
        <v>1</v>
      </c>
      <c r="B103" s="10">
        <v>2</v>
      </c>
      <c r="D103" s="24"/>
      <c r="E103" s="25"/>
      <c r="F103" s="21" t="s">
        <v>31</v>
      </c>
      <c r="G103" s="22">
        <f t="shared" ref="G103:Q103" si="43">G98+G102</f>
        <v>20234.519999999997</v>
      </c>
      <c r="H103" s="22">
        <f t="shared" si="43"/>
        <v>20902.89</v>
      </c>
      <c r="I103" s="22">
        <f t="shared" si="43"/>
        <v>11318</v>
      </c>
      <c r="J103" s="22">
        <f t="shared" si="43"/>
        <v>10741.16</v>
      </c>
      <c r="K103" s="22">
        <f t="shared" si="43"/>
        <v>10786</v>
      </c>
      <c r="L103" s="22">
        <f t="shared" si="43"/>
        <v>95</v>
      </c>
      <c r="M103" s="22">
        <f t="shared" si="43"/>
        <v>0</v>
      </c>
      <c r="N103" s="22">
        <f t="shared" si="43"/>
        <v>0</v>
      </c>
      <c r="O103" s="22">
        <f t="shared" si="43"/>
        <v>630</v>
      </c>
      <c r="P103" s="22">
        <f t="shared" si="43"/>
        <v>11511</v>
      </c>
      <c r="Q103" s="22">
        <f t="shared" si="43"/>
        <v>2892.53</v>
      </c>
      <c r="R103" s="23">
        <f t="shared" si="37"/>
        <v>0.25128398922769529</v>
      </c>
      <c r="S103" s="22">
        <f>S98+S102</f>
        <v>5487.43</v>
      </c>
      <c r="T103" s="23">
        <f t="shared" si="38"/>
        <v>0.47671184084788465</v>
      </c>
      <c r="U103" s="22">
        <f>U98+U102</f>
        <v>8285.4</v>
      </c>
      <c r="V103" s="23">
        <f t="shared" si="39"/>
        <v>0.71978107896794363</v>
      </c>
      <c r="W103" s="22">
        <f>W98+W102</f>
        <v>11510.3</v>
      </c>
      <c r="X103" s="23">
        <f t="shared" si="40"/>
        <v>0.99993918860220654</v>
      </c>
      <c r="Y103" s="22">
        <f>Y98+Y102</f>
        <v>11310</v>
      </c>
      <c r="Z103" s="22">
        <f>Z98+Z102</f>
        <v>11870</v>
      </c>
    </row>
    <row r="105" spans="1:26" x14ac:dyDescent="0.25">
      <c r="D105" s="3" t="s">
        <v>145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D106" s="16" t="s">
        <v>33</v>
      </c>
      <c r="E106" s="16" t="s">
        <v>34</v>
      </c>
      <c r="F106" s="16" t="s">
        <v>35</v>
      </c>
      <c r="G106" s="16" t="s">
        <v>1</v>
      </c>
      <c r="H106" s="16" t="s">
        <v>2</v>
      </c>
      <c r="I106" s="16" t="s">
        <v>3</v>
      </c>
      <c r="J106" s="16" t="s">
        <v>4</v>
      </c>
      <c r="K106" s="16" t="s">
        <v>5</v>
      </c>
      <c r="L106" s="16" t="s">
        <v>6</v>
      </c>
      <c r="M106" s="16" t="s">
        <v>7</v>
      </c>
      <c r="N106" s="16" t="s">
        <v>8</v>
      </c>
      <c r="O106" s="16" t="s">
        <v>9</v>
      </c>
      <c r="P106" s="16" t="s">
        <v>10</v>
      </c>
      <c r="Q106" s="16" t="s">
        <v>11</v>
      </c>
      <c r="R106" s="17" t="s">
        <v>12</v>
      </c>
      <c r="S106" s="16" t="s">
        <v>13</v>
      </c>
      <c r="T106" s="17" t="s">
        <v>14</v>
      </c>
      <c r="U106" s="16" t="s">
        <v>15</v>
      </c>
      <c r="V106" s="17" t="s">
        <v>16</v>
      </c>
      <c r="W106" s="16" t="s">
        <v>17</v>
      </c>
      <c r="X106" s="17" t="s">
        <v>18</v>
      </c>
      <c r="Y106" s="16" t="s">
        <v>19</v>
      </c>
      <c r="Z106" s="16" t="s">
        <v>20</v>
      </c>
    </row>
    <row r="107" spans="1:26" x14ac:dyDescent="0.25">
      <c r="A107" s="10">
        <v>1</v>
      </c>
      <c r="B107" s="10">
        <v>3</v>
      </c>
      <c r="D107" s="18" t="s">
        <v>146</v>
      </c>
      <c r="E107" s="18">
        <v>630</v>
      </c>
      <c r="F107" s="18" t="s">
        <v>147</v>
      </c>
      <c r="G107" s="19">
        <v>20382.740000000002</v>
      </c>
      <c r="H107" s="19">
        <v>3290.83</v>
      </c>
      <c r="I107" s="19">
        <v>5410</v>
      </c>
      <c r="J107" s="19">
        <v>1783.4</v>
      </c>
      <c r="K107" s="19">
        <v>2900</v>
      </c>
      <c r="L107" s="19"/>
      <c r="M107" s="19"/>
      <c r="N107" s="19"/>
      <c r="O107" s="19">
        <v>804</v>
      </c>
      <c r="P107" s="19">
        <f>K107+SUM(L107:O107)</f>
        <v>3704</v>
      </c>
      <c r="Q107" s="19">
        <v>0</v>
      </c>
      <c r="R107" s="20">
        <f t="shared" ref="R107:R112" si="44">Q107/$P107</f>
        <v>0</v>
      </c>
      <c r="S107" s="19">
        <v>273</v>
      </c>
      <c r="T107" s="20">
        <f t="shared" ref="T107:T112" si="45">S107/$P107</f>
        <v>7.3704103671706267E-2</v>
      </c>
      <c r="U107" s="19">
        <v>273</v>
      </c>
      <c r="V107" s="20">
        <f t="shared" ref="V107:V112" si="46">U107/$P107</f>
        <v>7.3704103671706267E-2</v>
      </c>
      <c r="W107" s="19">
        <v>3176.66</v>
      </c>
      <c r="X107" s="20">
        <f t="shared" ref="X107:X112" si="47">W107/$P107</f>
        <v>0.85762958963282931</v>
      </c>
      <c r="Y107" s="19">
        <f>K107</f>
        <v>2900</v>
      </c>
      <c r="Z107" s="19">
        <f>Y107</f>
        <v>2900</v>
      </c>
    </row>
    <row r="108" spans="1:26" x14ac:dyDescent="0.25">
      <c r="A108" s="10">
        <v>1</v>
      </c>
      <c r="B108" s="10">
        <v>3</v>
      </c>
      <c r="D108" s="84" t="s">
        <v>148</v>
      </c>
      <c r="E108" s="18">
        <v>630</v>
      </c>
      <c r="F108" s="18" t="s">
        <v>149</v>
      </c>
      <c r="G108" s="19">
        <v>309.64999999999998</v>
      </c>
      <c r="H108" s="19">
        <v>370.84</v>
      </c>
      <c r="I108" s="19">
        <v>198</v>
      </c>
      <c r="J108" s="19">
        <v>198</v>
      </c>
      <c r="K108" s="19">
        <v>200</v>
      </c>
      <c r="L108" s="19">
        <v>-13</v>
      </c>
      <c r="M108" s="19"/>
      <c r="N108" s="19"/>
      <c r="O108" s="19"/>
      <c r="P108" s="19">
        <f>K108+SUM(L108:O108)</f>
        <v>187</v>
      </c>
      <c r="Q108" s="19">
        <v>17</v>
      </c>
      <c r="R108" s="20">
        <f t="shared" si="44"/>
        <v>9.0909090909090912E-2</v>
      </c>
      <c r="S108" s="19">
        <v>85</v>
      </c>
      <c r="T108" s="20">
        <f t="shared" si="45"/>
        <v>0.45454545454545453</v>
      </c>
      <c r="U108" s="19">
        <v>136</v>
      </c>
      <c r="V108" s="20">
        <f t="shared" si="46"/>
        <v>0.72727272727272729</v>
      </c>
      <c r="W108" s="19">
        <v>187</v>
      </c>
      <c r="X108" s="20">
        <f t="shared" si="47"/>
        <v>1</v>
      </c>
      <c r="Y108" s="19">
        <f>K108</f>
        <v>200</v>
      </c>
      <c r="Z108" s="19">
        <f>Y108</f>
        <v>200</v>
      </c>
    </row>
    <row r="109" spans="1:26" x14ac:dyDescent="0.25">
      <c r="D109" s="1" t="s">
        <v>115</v>
      </c>
      <c r="E109" s="18">
        <v>620</v>
      </c>
      <c r="F109" s="18" t="s">
        <v>117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415</v>
      </c>
      <c r="M109" s="19"/>
      <c r="N109" s="19"/>
      <c r="O109" s="19"/>
      <c r="P109" s="19">
        <f>K109+SUM(L109:O109)</f>
        <v>415</v>
      </c>
      <c r="Q109" s="19">
        <v>37.72</v>
      </c>
      <c r="R109" s="20">
        <f t="shared" si="44"/>
        <v>9.0891566265060245E-2</v>
      </c>
      <c r="S109" s="19">
        <v>188.6</v>
      </c>
      <c r="T109" s="20">
        <f t="shared" si="45"/>
        <v>0.45445783132530121</v>
      </c>
      <c r="U109" s="19">
        <v>301.76</v>
      </c>
      <c r="V109" s="20">
        <f t="shared" si="46"/>
        <v>0.72713253012048196</v>
      </c>
      <c r="W109" s="19">
        <v>414.92</v>
      </c>
      <c r="X109" s="20">
        <f t="shared" si="47"/>
        <v>0.99980722891566265</v>
      </c>
      <c r="Y109" s="19">
        <v>0</v>
      </c>
      <c r="Z109" s="19">
        <v>0</v>
      </c>
    </row>
    <row r="110" spans="1:26" x14ac:dyDescent="0.25">
      <c r="A110" s="10">
        <v>1</v>
      </c>
      <c r="B110" s="10">
        <v>3</v>
      </c>
      <c r="D110" s="1" t="s">
        <v>115</v>
      </c>
      <c r="E110" s="18">
        <v>630</v>
      </c>
      <c r="F110" s="18" t="s">
        <v>118</v>
      </c>
      <c r="G110" s="19">
        <v>3131.34</v>
      </c>
      <c r="H110" s="19">
        <v>1712.17</v>
      </c>
      <c r="I110" s="19">
        <v>3084</v>
      </c>
      <c r="J110" s="19">
        <v>3132.73</v>
      </c>
      <c r="K110" s="19">
        <v>5100</v>
      </c>
      <c r="L110" s="19">
        <v>3136</v>
      </c>
      <c r="M110" s="19">
        <v>1210</v>
      </c>
      <c r="N110" s="19"/>
      <c r="O110" s="19">
        <v>970</v>
      </c>
      <c r="P110" s="19">
        <f>K110+SUM(L110:O110)</f>
        <v>10416</v>
      </c>
      <c r="Q110" s="19">
        <v>1765.54</v>
      </c>
      <c r="R110" s="20">
        <f t="shared" si="44"/>
        <v>0.169502688172043</v>
      </c>
      <c r="S110" s="19">
        <v>4528.3900000000003</v>
      </c>
      <c r="T110" s="20">
        <f t="shared" si="45"/>
        <v>0.43475326420890942</v>
      </c>
      <c r="U110" s="19">
        <v>5700.19</v>
      </c>
      <c r="V110" s="20">
        <f t="shared" si="46"/>
        <v>0.5472532642089093</v>
      </c>
      <c r="W110" s="19">
        <v>8176.17</v>
      </c>
      <c r="X110" s="20">
        <f t="shared" si="47"/>
        <v>0.78496255760368661</v>
      </c>
      <c r="Y110" s="19">
        <v>3100</v>
      </c>
      <c r="Z110" s="19">
        <f>Y110</f>
        <v>3100</v>
      </c>
    </row>
    <row r="111" spans="1:26" x14ac:dyDescent="0.25">
      <c r="A111" s="10">
        <v>1</v>
      </c>
      <c r="B111" s="10">
        <v>3</v>
      </c>
      <c r="D111" s="1"/>
      <c r="E111" s="18">
        <v>640</v>
      </c>
      <c r="F111" s="18" t="s">
        <v>119</v>
      </c>
      <c r="G111" s="19">
        <v>0</v>
      </c>
      <c r="H111" s="19">
        <v>0</v>
      </c>
      <c r="I111" s="19">
        <v>200</v>
      </c>
      <c r="J111" s="19">
        <v>0</v>
      </c>
      <c r="K111" s="19">
        <v>200</v>
      </c>
      <c r="L111" s="19"/>
      <c r="M111" s="19"/>
      <c r="N111" s="19"/>
      <c r="O111" s="19">
        <v>-130</v>
      </c>
      <c r="P111" s="19">
        <f>K111+SUM(L111:O111)</f>
        <v>70</v>
      </c>
      <c r="Q111" s="19">
        <v>0</v>
      </c>
      <c r="R111" s="20">
        <f t="shared" si="44"/>
        <v>0</v>
      </c>
      <c r="S111" s="19">
        <v>0</v>
      </c>
      <c r="T111" s="20">
        <f t="shared" si="45"/>
        <v>0</v>
      </c>
      <c r="U111" s="19">
        <v>0</v>
      </c>
      <c r="V111" s="20">
        <f t="shared" si="46"/>
        <v>0</v>
      </c>
      <c r="W111" s="19">
        <v>0</v>
      </c>
      <c r="X111" s="20">
        <f t="shared" si="47"/>
        <v>0</v>
      </c>
      <c r="Y111" s="19">
        <f>K111</f>
        <v>200</v>
      </c>
      <c r="Z111" s="19">
        <f>Y111</f>
        <v>200</v>
      </c>
    </row>
    <row r="112" spans="1:26" x14ac:dyDescent="0.25">
      <c r="A112" s="10">
        <v>1</v>
      </c>
      <c r="B112" s="10">
        <v>3</v>
      </c>
      <c r="D112" s="69" t="s">
        <v>97</v>
      </c>
      <c r="E112" s="21">
        <v>41</v>
      </c>
      <c r="F112" s="21" t="s">
        <v>56</v>
      </c>
      <c r="G112" s="22">
        <f t="shared" ref="G112:Q112" si="48">SUM(G107:G111)</f>
        <v>23823.730000000003</v>
      </c>
      <c r="H112" s="22">
        <f t="shared" si="48"/>
        <v>5373.84</v>
      </c>
      <c r="I112" s="22">
        <f t="shared" si="48"/>
        <v>8892</v>
      </c>
      <c r="J112" s="22">
        <f t="shared" si="48"/>
        <v>5114.13</v>
      </c>
      <c r="K112" s="22">
        <f t="shared" si="48"/>
        <v>8400</v>
      </c>
      <c r="L112" s="22">
        <f t="shared" si="48"/>
        <v>3538</v>
      </c>
      <c r="M112" s="22">
        <f t="shared" si="48"/>
        <v>1210</v>
      </c>
      <c r="N112" s="22">
        <f t="shared" si="48"/>
        <v>0</v>
      </c>
      <c r="O112" s="22">
        <f t="shared" si="48"/>
        <v>1644</v>
      </c>
      <c r="P112" s="22">
        <f t="shared" si="48"/>
        <v>14792</v>
      </c>
      <c r="Q112" s="22">
        <f t="shared" si="48"/>
        <v>1820.26</v>
      </c>
      <c r="R112" s="23">
        <f t="shared" si="44"/>
        <v>0.12305705786911844</v>
      </c>
      <c r="S112" s="22">
        <f>SUM(S107:S111)</f>
        <v>5074.9900000000007</v>
      </c>
      <c r="T112" s="23">
        <f t="shared" si="45"/>
        <v>0.34309018388318013</v>
      </c>
      <c r="U112" s="22">
        <f>SUM(U107:U111)</f>
        <v>6410.95</v>
      </c>
      <c r="V112" s="23">
        <f t="shared" si="46"/>
        <v>0.43340657111952408</v>
      </c>
      <c r="W112" s="22">
        <f>SUM(W107:W111)</f>
        <v>11954.75</v>
      </c>
      <c r="X112" s="23">
        <f t="shared" si="47"/>
        <v>0.80819023796646838</v>
      </c>
      <c r="Y112" s="22">
        <f>SUM(Y107:Y111)</f>
        <v>6400</v>
      </c>
      <c r="Z112" s="22">
        <f>SUM(Z107:Z111)</f>
        <v>6400</v>
      </c>
    </row>
    <row r="114" spans="1:26" x14ac:dyDescent="0.25">
      <c r="E114" s="44" t="s">
        <v>57</v>
      </c>
      <c r="F114" s="24" t="s">
        <v>133</v>
      </c>
      <c r="G114" s="45">
        <v>309.64999999999998</v>
      </c>
      <c r="H114" s="45">
        <v>719.89</v>
      </c>
      <c r="I114" s="45">
        <v>880</v>
      </c>
      <c r="J114" s="45">
        <v>820.3</v>
      </c>
      <c r="K114" s="45">
        <v>750</v>
      </c>
      <c r="L114" s="45">
        <f>57-13</f>
        <v>44</v>
      </c>
      <c r="M114" s="45"/>
      <c r="N114" s="45"/>
      <c r="O114" s="45">
        <v>10</v>
      </c>
      <c r="P114" s="45">
        <f>K114+SUM(L114:O114)</f>
        <v>804</v>
      </c>
      <c r="Q114" s="45">
        <v>86.74</v>
      </c>
      <c r="R114" s="46">
        <f>Q114/$P114</f>
        <v>0.10788557213930347</v>
      </c>
      <c r="S114" s="45">
        <v>298.74</v>
      </c>
      <c r="T114" s="46">
        <f>S114/$P114</f>
        <v>0.37156716417910451</v>
      </c>
      <c r="U114" s="45">
        <v>457.74</v>
      </c>
      <c r="V114" s="46">
        <f>U114/$P114</f>
        <v>0.56932835820895522</v>
      </c>
      <c r="W114" s="45">
        <v>803.74</v>
      </c>
      <c r="X114" s="47">
        <f>W114/$P114</f>
        <v>0.99967661691542287</v>
      </c>
      <c r="Y114" s="45">
        <f>K114</f>
        <v>750</v>
      </c>
      <c r="Z114" s="48">
        <f>Y114</f>
        <v>750</v>
      </c>
    </row>
    <row r="115" spans="1:26" x14ac:dyDescent="0.25">
      <c r="E115" s="49"/>
      <c r="F115" s="10" t="s">
        <v>134</v>
      </c>
      <c r="G115" s="51">
        <v>2378.34</v>
      </c>
      <c r="H115" s="51">
        <v>1134.26</v>
      </c>
      <c r="I115" s="51">
        <v>2004</v>
      </c>
      <c r="J115" s="51">
        <v>2004</v>
      </c>
      <c r="K115" s="51">
        <v>2004</v>
      </c>
      <c r="L115" s="51">
        <v>-269</v>
      </c>
      <c r="M115" s="51"/>
      <c r="N115" s="51"/>
      <c r="O115" s="51"/>
      <c r="P115" s="51">
        <f>K115+SUM(L115:O115)</f>
        <v>1735</v>
      </c>
      <c r="Q115" s="51">
        <v>423</v>
      </c>
      <c r="R115" s="11">
        <f>Q115/$P115</f>
        <v>0.24380403458213257</v>
      </c>
      <c r="S115" s="51">
        <v>867.6</v>
      </c>
      <c r="T115" s="11">
        <f>S115/$P115</f>
        <v>0.50005763688760807</v>
      </c>
      <c r="U115" s="51">
        <v>1269</v>
      </c>
      <c r="V115" s="11">
        <f>U115/$P115</f>
        <v>0.73141210374639765</v>
      </c>
      <c r="W115" s="51">
        <v>1735.2</v>
      </c>
      <c r="X115" s="52">
        <f>W115/$P115</f>
        <v>1.0001152737752161</v>
      </c>
      <c r="Y115" s="51">
        <f>K115</f>
        <v>2004</v>
      </c>
      <c r="Z115" s="53">
        <f>Y115</f>
        <v>2004</v>
      </c>
    </row>
    <row r="116" spans="1:26" x14ac:dyDescent="0.25">
      <c r="E116" s="49"/>
      <c r="F116" s="50" t="s">
        <v>150</v>
      </c>
      <c r="G116" s="51">
        <v>16481.240000000002</v>
      </c>
      <c r="H116" s="51">
        <f>1633.34+1167.89</f>
        <v>2801.23</v>
      </c>
      <c r="I116" s="51">
        <v>2500</v>
      </c>
      <c r="J116" s="51">
        <v>1293.4000000000001</v>
      </c>
      <c r="K116" s="51">
        <v>1500</v>
      </c>
      <c r="L116" s="51"/>
      <c r="M116" s="51"/>
      <c r="N116" s="51"/>
      <c r="O116" s="51">
        <v>1404</v>
      </c>
      <c r="P116" s="51">
        <f>K116+SUM(L116:O116)</f>
        <v>2904</v>
      </c>
      <c r="Q116" s="51">
        <v>0</v>
      </c>
      <c r="R116" s="11">
        <f>Q116/$P116</f>
        <v>0</v>
      </c>
      <c r="S116" s="51">
        <v>0</v>
      </c>
      <c r="T116" s="11">
        <f>S116/$P116</f>
        <v>0</v>
      </c>
      <c r="U116" s="51">
        <v>0</v>
      </c>
      <c r="V116" s="11">
        <f>U116/$P116</f>
        <v>0</v>
      </c>
      <c r="W116" s="51">
        <v>2903.66</v>
      </c>
      <c r="X116" s="52">
        <f>W116/$P116</f>
        <v>0.99988292011019275</v>
      </c>
      <c r="Y116" s="51">
        <f>K116</f>
        <v>1500</v>
      </c>
      <c r="Z116" s="53">
        <f>Y116</f>
        <v>1500</v>
      </c>
    </row>
    <row r="117" spans="1:26" x14ac:dyDescent="0.25">
      <c r="E117" s="57"/>
      <c r="F117" s="70" t="s">
        <v>151</v>
      </c>
      <c r="G117" s="59"/>
      <c r="H117" s="59"/>
      <c r="I117" s="59"/>
      <c r="J117" s="59"/>
      <c r="K117" s="59">
        <v>2000</v>
      </c>
      <c r="L117" s="59"/>
      <c r="M117" s="59"/>
      <c r="N117" s="59"/>
      <c r="O117" s="59"/>
      <c r="P117" s="59">
        <f>K117+SUM(L117:O117)</f>
        <v>2000</v>
      </c>
      <c r="Q117" s="59">
        <v>0</v>
      </c>
      <c r="R117" s="60">
        <f>Q117/$P117</f>
        <v>0</v>
      </c>
      <c r="S117" s="59">
        <v>133.34</v>
      </c>
      <c r="T117" s="60">
        <f>S117/$P117</f>
        <v>6.6670000000000007E-2</v>
      </c>
      <c r="U117" s="59">
        <v>133.34</v>
      </c>
      <c r="V117" s="60">
        <f>U117/$P117</f>
        <v>6.6670000000000007E-2</v>
      </c>
      <c r="W117" s="59">
        <v>444.5</v>
      </c>
      <c r="X117" s="61">
        <f>W117/$P117</f>
        <v>0.22225</v>
      </c>
      <c r="Y117" s="59"/>
      <c r="Z117" s="62"/>
    </row>
    <row r="118" spans="1:26" x14ac:dyDescent="0.25"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S118" s="51"/>
      <c r="U118" s="51"/>
      <c r="W118" s="51"/>
      <c r="Y118" s="51"/>
      <c r="Z118" s="51"/>
    </row>
    <row r="119" spans="1:26" x14ac:dyDescent="0.25">
      <c r="D119" s="3" t="s">
        <v>152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D120" s="16" t="s">
        <v>33</v>
      </c>
      <c r="E120" s="16" t="s">
        <v>34</v>
      </c>
      <c r="F120" s="16" t="s">
        <v>35</v>
      </c>
      <c r="G120" s="16" t="s">
        <v>1</v>
      </c>
      <c r="H120" s="16" t="s">
        <v>2</v>
      </c>
      <c r="I120" s="16" t="s">
        <v>3</v>
      </c>
      <c r="J120" s="16" t="s">
        <v>4</v>
      </c>
      <c r="K120" s="16" t="s">
        <v>5</v>
      </c>
      <c r="L120" s="16" t="s">
        <v>6</v>
      </c>
      <c r="M120" s="16" t="s">
        <v>7</v>
      </c>
      <c r="N120" s="16" t="s">
        <v>8</v>
      </c>
      <c r="O120" s="16" t="s">
        <v>9</v>
      </c>
      <c r="P120" s="16" t="s">
        <v>10</v>
      </c>
      <c r="Q120" s="16" t="s">
        <v>11</v>
      </c>
      <c r="R120" s="17" t="s">
        <v>12</v>
      </c>
      <c r="S120" s="16" t="s">
        <v>13</v>
      </c>
      <c r="T120" s="17" t="s">
        <v>14</v>
      </c>
      <c r="U120" s="16" t="s">
        <v>15</v>
      </c>
      <c r="V120" s="17" t="s">
        <v>16</v>
      </c>
      <c r="W120" s="16" t="s">
        <v>17</v>
      </c>
      <c r="X120" s="17" t="s">
        <v>18</v>
      </c>
      <c r="Y120" s="16" t="s">
        <v>19</v>
      </c>
      <c r="Z120" s="16" t="s">
        <v>20</v>
      </c>
    </row>
    <row r="121" spans="1:26" x14ac:dyDescent="0.25">
      <c r="A121" s="10">
        <v>1</v>
      </c>
      <c r="B121" s="10">
        <v>4</v>
      </c>
      <c r="D121" s="8" t="s">
        <v>153</v>
      </c>
      <c r="E121" s="85">
        <v>620</v>
      </c>
      <c r="F121" s="85" t="s">
        <v>117</v>
      </c>
      <c r="G121" s="86">
        <v>93.04</v>
      </c>
      <c r="H121" s="86">
        <v>542.65</v>
      </c>
      <c r="I121" s="86">
        <v>0</v>
      </c>
      <c r="J121" s="86">
        <v>74.3</v>
      </c>
      <c r="K121" s="86">
        <v>0</v>
      </c>
      <c r="L121" s="86">
        <v>48</v>
      </c>
      <c r="M121" s="86"/>
      <c r="N121" s="86"/>
      <c r="O121" s="86"/>
      <c r="P121" s="86">
        <f>K121+SUM(L121:O121)</f>
        <v>48</v>
      </c>
      <c r="Q121" s="86">
        <v>0</v>
      </c>
      <c r="R121" s="87">
        <f>Q121/$P121</f>
        <v>0</v>
      </c>
      <c r="S121" s="86">
        <v>46.76</v>
      </c>
      <c r="T121" s="87">
        <f>S121/$P121</f>
        <v>0.97416666666666663</v>
      </c>
      <c r="U121" s="86">
        <v>46.76</v>
      </c>
      <c r="V121" s="87">
        <f>U121/$P121</f>
        <v>0.97416666666666663</v>
      </c>
      <c r="W121" s="86">
        <v>46.76</v>
      </c>
      <c r="X121" s="87">
        <f>W121/$P121</f>
        <v>0.97416666666666663</v>
      </c>
      <c r="Y121" s="86">
        <v>0</v>
      </c>
      <c r="Z121" s="86">
        <v>0</v>
      </c>
    </row>
    <row r="122" spans="1:26" x14ac:dyDescent="0.25">
      <c r="A122" s="10">
        <v>1</v>
      </c>
      <c r="B122" s="10">
        <v>4</v>
      </c>
      <c r="D122" s="8"/>
      <c r="E122" s="85">
        <v>630</v>
      </c>
      <c r="F122" s="85" t="s">
        <v>118</v>
      </c>
      <c r="G122" s="86">
        <v>1051.01</v>
      </c>
      <c r="H122" s="86">
        <v>6746.85</v>
      </c>
      <c r="I122" s="86">
        <v>2000</v>
      </c>
      <c r="J122" s="86">
        <v>1205.7</v>
      </c>
      <c r="K122" s="86">
        <v>2000</v>
      </c>
      <c r="L122" s="86">
        <v>-217</v>
      </c>
      <c r="M122" s="86"/>
      <c r="N122" s="86"/>
      <c r="O122" s="86"/>
      <c r="P122" s="86">
        <f>K122+SUM(L122:O122)</f>
        <v>1783</v>
      </c>
      <c r="Q122" s="86">
        <v>1540.41</v>
      </c>
      <c r="R122" s="87">
        <f>Q122/$P122</f>
        <v>0.86394279304542909</v>
      </c>
      <c r="S122" s="86">
        <v>1757.26</v>
      </c>
      <c r="T122" s="87">
        <f>S122/$P122</f>
        <v>0.98556365675827262</v>
      </c>
      <c r="U122" s="86">
        <v>1757.26</v>
      </c>
      <c r="V122" s="87">
        <f>U122/$P122</f>
        <v>0.98556365675827262</v>
      </c>
      <c r="W122" s="86">
        <v>1757.26</v>
      </c>
      <c r="X122" s="87">
        <f>W122/$P122</f>
        <v>0.98556365675827262</v>
      </c>
      <c r="Y122" s="86">
        <f>K122</f>
        <v>2000</v>
      </c>
      <c r="Z122" s="86">
        <f>Y122</f>
        <v>2000</v>
      </c>
    </row>
    <row r="123" spans="1:26" x14ac:dyDescent="0.25">
      <c r="A123" s="10">
        <v>1</v>
      </c>
      <c r="B123" s="10">
        <v>4</v>
      </c>
      <c r="D123" s="88" t="s">
        <v>97</v>
      </c>
      <c r="E123" s="89">
        <v>111</v>
      </c>
      <c r="F123" s="89" t="s">
        <v>56</v>
      </c>
      <c r="G123" s="90">
        <f t="shared" ref="G123:Q123" si="49">SUM(G121:G122)</f>
        <v>1144.05</v>
      </c>
      <c r="H123" s="90">
        <f t="shared" si="49"/>
        <v>7289.5</v>
      </c>
      <c r="I123" s="90">
        <f t="shared" si="49"/>
        <v>2000</v>
      </c>
      <c r="J123" s="90">
        <f t="shared" si="49"/>
        <v>1280</v>
      </c>
      <c r="K123" s="90">
        <f t="shared" si="49"/>
        <v>2000</v>
      </c>
      <c r="L123" s="90">
        <f t="shared" si="49"/>
        <v>-169</v>
      </c>
      <c r="M123" s="90">
        <f t="shared" si="49"/>
        <v>0</v>
      </c>
      <c r="N123" s="90">
        <f t="shared" si="49"/>
        <v>0</v>
      </c>
      <c r="O123" s="90">
        <f t="shared" si="49"/>
        <v>0</v>
      </c>
      <c r="P123" s="90">
        <f t="shared" si="49"/>
        <v>1831</v>
      </c>
      <c r="Q123" s="90">
        <f t="shared" si="49"/>
        <v>1540.41</v>
      </c>
      <c r="R123" s="91">
        <f>Q123/$P123</f>
        <v>0.84129437465865653</v>
      </c>
      <c r="S123" s="90">
        <f>SUM(S121:S122)</f>
        <v>1804.02</v>
      </c>
      <c r="T123" s="91">
        <f>S123/$P123</f>
        <v>0.9852648825778263</v>
      </c>
      <c r="U123" s="90">
        <f>SUM(U121:U122)</f>
        <v>1804.02</v>
      </c>
      <c r="V123" s="91">
        <f>U123/$P123</f>
        <v>0.9852648825778263</v>
      </c>
      <c r="W123" s="90">
        <f>SUM(W121:W122)</f>
        <v>1804.02</v>
      </c>
      <c r="X123" s="91">
        <f>W123/$P123</f>
        <v>0.9852648825778263</v>
      </c>
      <c r="Y123" s="90">
        <f>SUM(Y121:Y122)</f>
        <v>2000</v>
      </c>
      <c r="Z123" s="90">
        <f>SUM(Z121:Z122)</f>
        <v>2000</v>
      </c>
    </row>
    <row r="125" spans="1:26" x14ac:dyDescent="0.25">
      <c r="D125" s="4" t="s">
        <v>154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25">
      <c r="D126" s="15"/>
      <c r="E126" s="15"/>
      <c r="F126" s="15"/>
      <c r="G126" s="16" t="s">
        <v>1</v>
      </c>
      <c r="H126" s="16" t="s">
        <v>2</v>
      </c>
      <c r="I126" s="16" t="s">
        <v>3</v>
      </c>
      <c r="J126" s="16" t="s">
        <v>4</v>
      </c>
      <c r="K126" s="16" t="s">
        <v>5</v>
      </c>
      <c r="L126" s="16" t="s">
        <v>6</v>
      </c>
      <c r="M126" s="16" t="s">
        <v>7</v>
      </c>
      <c r="N126" s="16" t="s">
        <v>8</v>
      </c>
      <c r="O126" s="16" t="s">
        <v>9</v>
      </c>
      <c r="P126" s="16" t="s">
        <v>10</v>
      </c>
      <c r="Q126" s="16" t="s">
        <v>11</v>
      </c>
      <c r="R126" s="17" t="s">
        <v>12</v>
      </c>
      <c r="S126" s="16" t="s">
        <v>13</v>
      </c>
      <c r="T126" s="17" t="s">
        <v>14</v>
      </c>
      <c r="U126" s="16" t="s">
        <v>15</v>
      </c>
      <c r="V126" s="17" t="s">
        <v>16</v>
      </c>
      <c r="W126" s="16" t="s">
        <v>17</v>
      </c>
      <c r="X126" s="17" t="s">
        <v>18</v>
      </c>
      <c r="Y126" s="16" t="s">
        <v>19</v>
      </c>
      <c r="Z126" s="16" t="s">
        <v>20</v>
      </c>
    </row>
    <row r="127" spans="1:26" x14ac:dyDescent="0.25">
      <c r="A127" s="10">
        <v>2</v>
      </c>
      <c r="D127" s="5" t="s">
        <v>21</v>
      </c>
      <c r="E127" s="29">
        <v>111</v>
      </c>
      <c r="F127" s="29" t="s">
        <v>99</v>
      </c>
      <c r="G127" s="30">
        <f t="shared" ref="G127:Q127" si="50">G136+G149+G161</f>
        <v>361996.17000000004</v>
      </c>
      <c r="H127" s="30">
        <f t="shared" si="50"/>
        <v>387855.56</v>
      </c>
      <c r="I127" s="30">
        <f t="shared" si="50"/>
        <v>399743</v>
      </c>
      <c r="J127" s="30">
        <f t="shared" si="50"/>
        <v>401257.09</v>
      </c>
      <c r="K127" s="30">
        <f t="shared" si="50"/>
        <v>422095</v>
      </c>
      <c r="L127" s="30">
        <f t="shared" si="50"/>
        <v>2650</v>
      </c>
      <c r="M127" s="30">
        <f t="shared" si="50"/>
        <v>0</v>
      </c>
      <c r="N127" s="30">
        <f t="shared" si="50"/>
        <v>0</v>
      </c>
      <c r="O127" s="30">
        <f t="shared" si="50"/>
        <v>2312</v>
      </c>
      <c r="P127" s="30">
        <f t="shared" si="50"/>
        <v>427057</v>
      </c>
      <c r="Q127" s="30">
        <f t="shared" si="50"/>
        <v>66046.83</v>
      </c>
      <c r="R127" s="31">
        <f>Q127/$P127</f>
        <v>0.15465577194613367</v>
      </c>
      <c r="S127" s="30">
        <f>S136+S149+S161</f>
        <v>175565.87</v>
      </c>
      <c r="T127" s="31">
        <f>S127/$P127</f>
        <v>0.41110640968301654</v>
      </c>
      <c r="U127" s="30">
        <f>U136+U149+U161</f>
        <v>261286.13999999998</v>
      </c>
      <c r="V127" s="31">
        <f>U127/$P127</f>
        <v>0.61182966208257905</v>
      </c>
      <c r="W127" s="30">
        <f>W136+W149+W161</f>
        <v>426237.42</v>
      </c>
      <c r="X127" s="31">
        <f>W127/$P127</f>
        <v>0.99808086508358362</v>
      </c>
      <c r="Y127" s="30">
        <f>Y136+Y149+Y161</f>
        <v>422095</v>
      </c>
      <c r="Z127" s="30">
        <f>Z136+Z149+Z161</f>
        <v>422095</v>
      </c>
    </row>
    <row r="128" spans="1:26" x14ac:dyDescent="0.25">
      <c r="A128" s="10">
        <v>2</v>
      </c>
      <c r="D128" s="5"/>
      <c r="E128" s="29">
        <v>41</v>
      </c>
      <c r="F128" s="29" t="s">
        <v>23</v>
      </c>
      <c r="G128" s="30">
        <f t="shared" ref="G128:Q128" si="51">G141+G154+G166</f>
        <v>219829.57</v>
      </c>
      <c r="H128" s="30">
        <f t="shared" si="51"/>
        <v>239995.84</v>
      </c>
      <c r="I128" s="30">
        <f t="shared" si="51"/>
        <v>220737</v>
      </c>
      <c r="J128" s="30">
        <f t="shared" si="51"/>
        <v>224031.44999999998</v>
      </c>
      <c r="K128" s="30">
        <f t="shared" si="51"/>
        <v>247965</v>
      </c>
      <c r="L128" s="30">
        <f t="shared" si="51"/>
        <v>0</v>
      </c>
      <c r="M128" s="30">
        <f t="shared" si="51"/>
        <v>0</v>
      </c>
      <c r="N128" s="30">
        <f t="shared" si="51"/>
        <v>0</v>
      </c>
      <c r="O128" s="30">
        <f t="shared" si="51"/>
        <v>1618</v>
      </c>
      <c r="P128" s="30">
        <f t="shared" si="51"/>
        <v>249583</v>
      </c>
      <c r="Q128" s="30">
        <f t="shared" si="51"/>
        <v>39111.760000000002</v>
      </c>
      <c r="R128" s="31">
        <f>Q128/$P128</f>
        <v>0.15670842966067403</v>
      </c>
      <c r="S128" s="30">
        <f>S141+S154+S166</f>
        <v>112127.51</v>
      </c>
      <c r="T128" s="31">
        <f>S128/$P128</f>
        <v>0.44925940468701792</v>
      </c>
      <c r="U128" s="30">
        <f>U141+U154+U166</f>
        <v>165967.4</v>
      </c>
      <c r="V128" s="31">
        <f>U128/$P128</f>
        <v>0.66497878461273396</v>
      </c>
      <c r="W128" s="30">
        <f>W141+W154+W166</f>
        <v>233190.06000000003</v>
      </c>
      <c r="X128" s="31">
        <f>W128/$P128</f>
        <v>0.93431868356418513</v>
      </c>
      <c r="Y128" s="30">
        <f>Y141+Y154+Y166</f>
        <v>253765</v>
      </c>
      <c r="Z128" s="30">
        <f>Z141+Z154+Z166</f>
        <v>260065</v>
      </c>
    </row>
    <row r="129" spans="1:26" x14ac:dyDescent="0.25">
      <c r="A129" s="10">
        <v>2</v>
      </c>
      <c r="D129" s="24"/>
      <c r="E129" s="25"/>
      <c r="F129" s="32" t="s">
        <v>31</v>
      </c>
      <c r="G129" s="33">
        <f t="shared" ref="G129:Q129" si="52">SUM(G127:G128)</f>
        <v>581825.74</v>
      </c>
      <c r="H129" s="33">
        <f t="shared" si="52"/>
        <v>627851.4</v>
      </c>
      <c r="I129" s="33">
        <f t="shared" si="52"/>
        <v>620480</v>
      </c>
      <c r="J129" s="33">
        <f t="shared" si="52"/>
        <v>625288.54</v>
      </c>
      <c r="K129" s="33">
        <f t="shared" si="52"/>
        <v>670060</v>
      </c>
      <c r="L129" s="33">
        <f t="shared" si="52"/>
        <v>2650</v>
      </c>
      <c r="M129" s="33">
        <f t="shared" si="52"/>
        <v>0</v>
      </c>
      <c r="N129" s="33">
        <f t="shared" si="52"/>
        <v>0</v>
      </c>
      <c r="O129" s="33">
        <f t="shared" si="52"/>
        <v>3930</v>
      </c>
      <c r="P129" s="33">
        <f t="shared" si="52"/>
        <v>676640</v>
      </c>
      <c r="Q129" s="33">
        <f t="shared" si="52"/>
        <v>105158.59</v>
      </c>
      <c r="R129" s="34">
        <f>Q129/$P129</f>
        <v>0.15541290789784817</v>
      </c>
      <c r="S129" s="33">
        <f>SUM(S127:S128)</f>
        <v>287693.38</v>
      </c>
      <c r="T129" s="34">
        <f>S129/$P129</f>
        <v>0.42517938637975883</v>
      </c>
      <c r="U129" s="33">
        <f>SUM(U127:U128)</f>
        <v>427253.54</v>
      </c>
      <c r="V129" s="34">
        <f>U129/$P129</f>
        <v>0.63143405651454243</v>
      </c>
      <c r="W129" s="33">
        <f>SUM(W127:W128)</f>
        <v>659427.48</v>
      </c>
      <c r="X129" s="34">
        <f>W129/$P129</f>
        <v>0.97456177583353032</v>
      </c>
      <c r="Y129" s="33">
        <f>SUM(Y127:Y128)</f>
        <v>675860</v>
      </c>
      <c r="Z129" s="33">
        <f>SUM(Z127:Z128)</f>
        <v>682160</v>
      </c>
    </row>
    <row r="131" spans="1:26" x14ac:dyDescent="0.25">
      <c r="D131" s="35" t="s">
        <v>155</v>
      </c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6"/>
      <c r="S131" s="35"/>
      <c r="T131" s="36"/>
      <c r="U131" s="35"/>
      <c r="V131" s="36"/>
      <c r="W131" s="35"/>
      <c r="X131" s="36"/>
      <c r="Y131" s="35"/>
      <c r="Z131" s="35"/>
    </row>
    <row r="132" spans="1:26" x14ac:dyDescent="0.25">
      <c r="D132" s="16" t="s">
        <v>33</v>
      </c>
      <c r="E132" s="16" t="s">
        <v>34</v>
      </c>
      <c r="F132" s="16" t="s">
        <v>35</v>
      </c>
      <c r="G132" s="16" t="s">
        <v>1</v>
      </c>
      <c r="H132" s="16" t="s">
        <v>2</v>
      </c>
      <c r="I132" s="16" t="s">
        <v>3</v>
      </c>
      <c r="J132" s="16" t="s">
        <v>4</v>
      </c>
      <c r="K132" s="16" t="s">
        <v>5</v>
      </c>
      <c r="L132" s="16" t="s">
        <v>6</v>
      </c>
      <c r="M132" s="16" t="s">
        <v>7</v>
      </c>
      <c r="N132" s="16" t="s">
        <v>8</v>
      </c>
      <c r="O132" s="16" t="s">
        <v>9</v>
      </c>
      <c r="P132" s="16" t="s">
        <v>10</v>
      </c>
      <c r="Q132" s="16" t="s">
        <v>11</v>
      </c>
      <c r="R132" s="17" t="s">
        <v>12</v>
      </c>
      <c r="S132" s="16" t="s">
        <v>13</v>
      </c>
      <c r="T132" s="17" t="s">
        <v>14</v>
      </c>
      <c r="U132" s="16" t="s">
        <v>15</v>
      </c>
      <c r="V132" s="17" t="s">
        <v>16</v>
      </c>
      <c r="W132" s="16" t="s">
        <v>17</v>
      </c>
      <c r="X132" s="17" t="s">
        <v>18</v>
      </c>
      <c r="Y132" s="16" t="s">
        <v>19</v>
      </c>
      <c r="Z132" s="16" t="s">
        <v>20</v>
      </c>
    </row>
    <row r="133" spans="1:26" x14ac:dyDescent="0.25">
      <c r="A133" s="10">
        <v>2</v>
      </c>
      <c r="B133" s="10">
        <v>1</v>
      </c>
      <c r="D133" s="7" t="s">
        <v>141</v>
      </c>
      <c r="E133" s="18">
        <v>610</v>
      </c>
      <c r="F133" s="18" t="s">
        <v>116</v>
      </c>
      <c r="G133" s="19">
        <v>4526.18</v>
      </c>
      <c r="H133" s="19">
        <v>330</v>
      </c>
      <c r="I133" s="19">
        <v>0</v>
      </c>
      <c r="J133" s="19">
        <v>2510</v>
      </c>
      <c r="K133" s="19">
        <v>0</v>
      </c>
      <c r="L133" s="19">
        <v>860</v>
      </c>
      <c r="M133" s="19"/>
      <c r="N133" s="19">
        <v>360</v>
      </c>
      <c r="O133" s="19">
        <v>730</v>
      </c>
      <c r="P133" s="19">
        <f>K133+SUM(L133:O133)</f>
        <v>1950</v>
      </c>
      <c r="Q133" s="19">
        <v>70</v>
      </c>
      <c r="R133" s="20">
        <f t="shared" ref="R133:R142" si="53">Q133/$P133</f>
        <v>3.5897435897435895E-2</v>
      </c>
      <c r="S133" s="19">
        <v>430</v>
      </c>
      <c r="T133" s="20">
        <f t="shared" ref="T133:T142" si="54">S133/$P133</f>
        <v>0.22051282051282051</v>
      </c>
      <c r="U133" s="19">
        <v>1220</v>
      </c>
      <c r="V133" s="20">
        <f t="shared" ref="V133:V142" si="55">U133/$P133</f>
        <v>0.62564102564102564</v>
      </c>
      <c r="W133" s="19">
        <v>1950</v>
      </c>
      <c r="X133" s="20">
        <f t="shared" ref="X133:X142" si="56">W133/$P133</f>
        <v>1</v>
      </c>
      <c r="Y133" s="19">
        <v>0</v>
      </c>
      <c r="Z133" s="19">
        <v>0</v>
      </c>
    </row>
    <row r="134" spans="1:26" x14ac:dyDescent="0.25">
      <c r="D134" s="7"/>
      <c r="E134" s="18">
        <v>620</v>
      </c>
      <c r="F134" s="18" t="s">
        <v>117</v>
      </c>
      <c r="G134" s="19"/>
      <c r="H134" s="19"/>
      <c r="I134" s="19"/>
      <c r="J134" s="19"/>
      <c r="K134" s="19">
        <v>0</v>
      </c>
      <c r="L134" s="19"/>
      <c r="M134" s="19"/>
      <c r="N134" s="19">
        <v>149</v>
      </c>
      <c r="O134" s="19">
        <v>534</v>
      </c>
      <c r="P134" s="19">
        <f>K134+SUM(L134:O134)</f>
        <v>683</v>
      </c>
      <c r="Q134" s="19">
        <v>0</v>
      </c>
      <c r="R134" s="20">
        <f t="shared" si="53"/>
        <v>0</v>
      </c>
      <c r="S134" s="19">
        <v>150.29</v>
      </c>
      <c r="T134" s="20">
        <f t="shared" si="54"/>
        <v>0.22004392386530014</v>
      </c>
      <c r="U134" s="19">
        <v>426.4</v>
      </c>
      <c r="V134" s="20">
        <f t="shared" si="55"/>
        <v>0.62430453879941428</v>
      </c>
      <c r="W134" s="19">
        <v>681.54</v>
      </c>
      <c r="X134" s="20">
        <f t="shared" si="56"/>
        <v>0.99786237188872617</v>
      </c>
      <c r="Y134" s="19"/>
      <c r="Z134" s="19"/>
    </row>
    <row r="135" spans="1:26" x14ac:dyDescent="0.25">
      <c r="A135" s="10">
        <v>2</v>
      </c>
      <c r="B135" s="10">
        <v>1</v>
      </c>
      <c r="D135" s="7"/>
      <c r="E135" s="18">
        <v>630</v>
      </c>
      <c r="F135" s="18" t="s">
        <v>118</v>
      </c>
      <c r="G135" s="19">
        <v>4765</v>
      </c>
      <c r="H135" s="19">
        <v>4607</v>
      </c>
      <c r="I135" s="19">
        <v>5045</v>
      </c>
      <c r="J135" s="19">
        <v>2535</v>
      </c>
      <c r="K135" s="19">
        <v>5045</v>
      </c>
      <c r="L135" s="19">
        <v>-860</v>
      </c>
      <c r="M135" s="19"/>
      <c r="N135" s="19">
        <v>-509</v>
      </c>
      <c r="O135" s="19">
        <v>-1849</v>
      </c>
      <c r="P135" s="19">
        <f>K135+SUM(L135:O135)</f>
        <v>1827</v>
      </c>
      <c r="Q135" s="19">
        <v>108.28</v>
      </c>
      <c r="R135" s="20">
        <f t="shared" si="53"/>
        <v>5.9266557197591684E-2</v>
      </c>
      <c r="S135" s="19">
        <v>877.58</v>
      </c>
      <c r="T135" s="20">
        <f t="shared" si="54"/>
        <v>0.4803393541324576</v>
      </c>
      <c r="U135" s="19">
        <v>885.78</v>
      </c>
      <c r="V135" s="20">
        <f t="shared" si="55"/>
        <v>0.48482758620689653</v>
      </c>
      <c r="W135" s="19">
        <v>1826.87</v>
      </c>
      <c r="X135" s="20">
        <f t="shared" si="56"/>
        <v>0.99992884510125879</v>
      </c>
      <c r="Y135" s="19">
        <f>K135</f>
        <v>5045</v>
      </c>
      <c r="Z135" s="19">
        <f>Y135</f>
        <v>5045</v>
      </c>
    </row>
    <row r="136" spans="1:26" x14ac:dyDescent="0.25">
      <c r="A136" s="10">
        <v>2</v>
      </c>
      <c r="B136" s="10">
        <v>1</v>
      </c>
      <c r="D136" s="80" t="s">
        <v>97</v>
      </c>
      <c r="E136" s="81">
        <v>111</v>
      </c>
      <c r="F136" s="81" t="s">
        <v>139</v>
      </c>
      <c r="G136" s="82">
        <f t="shared" ref="G136:Q136" si="57">SUM(G133:G135)</f>
        <v>9291.18</v>
      </c>
      <c r="H136" s="82">
        <f t="shared" si="57"/>
        <v>4937</v>
      </c>
      <c r="I136" s="82">
        <f t="shared" si="57"/>
        <v>5045</v>
      </c>
      <c r="J136" s="82">
        <f t="shared" si="57"/>
        <v>5045</v>
      </c>
      <c r="K136" s="82">
        <f t="shared" si="57"/>
        <v>5045</v>
      </c>
      <c r="L136" s="82">
        <f t="shared" si="57"/>
        <v>0</v>
      </c>
      <c r="M136" s="82">
        <f t="shared" si="57"/>
        <v>0</v>
      </c>
      <c r="N136" s="82">
        <f t="shared" si="57"/>
        <v>0</v>
      </c>
      <c r="O136" s="82">
        <f t="shared" si="57"/>
        <v>-585</v>
      </c>
      <c r="P136" s="82">
        <f t="shared" si="57"/>
        <v>4460</v>
      </c>
      <c r="Q136" s="82">
        <f t="shared" si="57"/>
        <v>178.28</v>
      </c>
      <c r="R136" s="83">
        <f t="shared" si="53"/>
        <v>3.9973094170403588E-2</v>
      </c>
      <c r="S136" s="82">
        <f>SUM(S133:S135)</f>
        <v>1457.87</v>
      </c>
      <c r="T136" s="83">
        <f t="shared" si="54"/>
        <v>0.32687668161434974</v>
      </c>
      <c r="U136" s="82">
        <f>SUM(U133:U135)</f>
        <v>2532.1800000000003</v>
      </c>
      <c r="V136" s="83">
        <f t="shared" si="55"/>
        <v>0.56775336322869963</v>
      </c>
      <c r="W136" s="82">
        <f>SUM(W133:W135)</f>
        <v>4458.41</v>
      </c>
      <c r="X136" s="83">
        <f t="shared" si="56"/>
        <v>0.99964349775784755</v>
      </c>
      <c r="Y136" s="82">
        <f>SUM(Y133:Y135)</f>
        <v>5045</v>
      </c>
      <c r="Z136" s="82">
        <f>SUM(Z133:Z135)</f>
        <v>5045</v>
      </c>
    </row>
    <row r="137" spans="1:26" x14ac:dyDescent="0.25">
      <c r="A137" s="10">
        <v>2</v>
      </c>
      <c r="B137" s="10">
        <v>1</v>
      </c>
      <c r="D137" s="7" t="s">
        <v>141</v>
      </c>
      <c r="E137" s="18">
        <v>610</v>
      </c>
      <c r="F137" s="18" t="s">
        <v>116</v>
      </c>
      <c r="G137" s="19">
        <v>70020.960000000006</v>
      </c>
      <c r="H137" s="19">
        <v>73875.17</v>
      </c>
      <c r="I137" s="19">
        <v>77308</v>
      </c>
      <c r="J137" s="19">
        <v>78995.490000000005</v>
      </c>
      <c r="K137" s="19">
        <v>87866</v>
      </c>
      <c r="L137" s="19"/>
      <c r="M137" s="19"/>
      <c r="N137" s="19"/>
      <c r="O137" s="19">
        <v>1918</v>
      </c>
      <c r="P137" s="19">
        <f>K137+SUM(L137:O137)</f>
        <v>89784</v>
      </c>
      <c r="Q137" s="19">
        <v>13807.3</v>
      </c>
      <c r="R137" s="20">
        <f t="shared" si="53"/>
        <v>0.15378352490421454</v>
      </c>
      <c r="S137" s="19">
        <v>43164.38</v>
      </c>
      <c r="T137" s="20">
        <f t="shared" si="54"/>
        <v>0.48075804152187468</v>
      </c>
      <c r="U137" s="19">
        <v>65379.76</v>
      </c>
      <c r="V137" s="20">
        <f t="shared" si="55"/>
        <v>0.72818943241557521</v>
      </c>
      <c r="W137" s="19">
        <v>89784.2</v>
      </c>
      <c r="X137" s="20">
        <f t="shared" si="56"/>
        <v>1.0000022275683864</v>
      </c>
      <c r="Y137" s="19">
        <v>92134</v>
      </c>
      <c r="Z137" s="19">
        <v>96616</v>
      </c>
    </row>
    <row r="138" spans="1:26" x14ac:dyDescent="0.25">
      <c r="A138" s="10">
        <v>2</v>
      </c>
      <c r="B138" s="10">
        <v>1</v>
      </c>
      <c r="D138" s="7"/>
      <c r="E138" s="18">
        <v>620</v>
      </c>
      <c r="F138" s="18" t="s">
        <v>117</v>
      </c>
      <c r="G138" s="19">
        <v>27109.08</v>
      </c>
      <c r="H138" s="19">
        <v>26752.31</v>
      </c>
      <c r="I138" s="19">
        <v>28799</v>
      </c>
      <c r="J138" s="19">
        <v>29921.59</v>
      </c>
      <c r="K138" s="19">
        <v>32467</v>
      </c>
      <c r="L138" s="19"/>
      <c r="M138" s="19"/>
      <c r="N138" s="19"/>
      <c r="O138" s="19">
        <v>643</v>
      </c>
      <c r="P138" s="19">
        <f>K138+SUM(L138:O138)</f>
        <v>33110</v>
      </c>
      <c r="Q138" s="19">
        <v>5216.17</v>
      </c>
      <c r="R138" s="20">
        <f t="shared" si="53"/>
        <v>0.15754062216852915</v>
      </c>
      <c r="S138" s="19">
        <v>15945.63</v>
      </c>
      <c r="T138" s="20">
        <f t="shared" si="54"/>
        <v>0.48159559045605554</v>
      </c>
      <c r="U138" s="19">
        <v>24147.38</v>
      </c>
      <c r="V138" s="20">
        <f t="shared" si="55"/>
        <v>0.72930776200543646</v>
      </c>
      <c r="W138" s="19">
        <v>33111.050000000003</v>
      </c>
      <c r="X138" s="20">
        <f t="shared" si="56"/>
        <v>1.0000317124735729</v>
      </c>
      <c r="Y138" s="19">
        <v>34043</v>
      </c>
      <c r="Z138" s="19">
        <v>35699</v>
      </c>
    </row>
    <row r="139" spans="1:26" x14ac:dyDescent="0.25">
      <c r="A139" s="10">
        <v>2</v>
      </c>
      <c r="B139" s="10">
        <v>1</v>
      </c>
      <c r="D139" s="7"/>
      <c r="E139" s="18">
        <v>630</v>
      </c>
      <c r="F139" s="18" t="s">
        <v>118</v>
      </c>
      <c r="G139" s="19">
        <v>12810.35</v>
      </c>
      <c r="H139" s="19">
        <v>10244.17</v>
      </c>
      <c r="I139" s="19">
        <v>16549</v>
      </c>
      <c r="J139" s="19">
        <v>11143.52</v>
      </c>
      <c r="K139" s="19">
        <v>10922</v>
      </c>
      <c r="L139" s="19"/>
      <c r="M139" s="19"/>
      <c r="N139" s="19"/>
      <c r="O139" s="19">
        <v>756</v>
      </c>
      <c r="P139" s="19">
        <f>K139+SUM(L139:O139)</f>
        <v>11678</v>
      </c>
      <c r="Q139" s="19">
        <v>1951.79</v>
      </c>
      <c r="R139" s="20">
        <f t="shared" si="53"/>
        <v>0.16713392704230176</v>
      </c>
      <c r="S139" s="19">
        <v>6560.24</v>
      </c>
      <c r="T139" s="20">
        <f t="shared" si="54"/>
        <v>0.56176057544100011</v>
      </c>
      <c r="U139" s="19">
        <v>8420.83</v>
      </c>
      <c r="V139" s="20">
        <f t="shared" si="55"/>
        <v>0.72108494605240625</v>
      </c>
      <c r="W139" s="19">
        <v>11608.63</v>
      </c>
      <c r="X139" s="20">
        <f t="shared" si="56"/>
        <v>0.99405977050864869</v>
      </c>
      <c r="Y139" s="19">
        <v>10878</v>
      </c>
      <c r="Z139" s="19">
        <v>11040</v>
      </c>
    </row>
    <row r="140" spans="1:26" x14ac:dyDescent="0.25">
      <c r="A140" s="10">
        <v>2</v>
      </c>
      <c r="B140" s="10">
        <v>1</v>
      </c>
      <c r="D140" s="7"/>
      <c r="E140" s="18">
        <v>640</v>
      </c>
      <c r="F140" s="18" t="s">
        <v>119</v>
      </c>
      <c r="G140" s="19">
        <v>64.150000000000006</v>
      </c>
      <c r="H140" s="19">
        <v>604.67999999999995</v>
      </c>
      <c r="I140" s="19">
        <v>0</v>
      </c>
      <c r="J140" s="19">
        <v>0</v>
      </c>
      <c r="K140" s="19">
        <v>0</v>
      </c>
      <c r="L140" s="19"/>
      <c r="M140" s="19"/>
      <c r="N140" s="19"/>
      <c r="O140" s="19"/>
      <c r="P140" s="19">
        <f>K140+SUM(L140:O140)</f>
        <v>0</v>
      </c>
      <c r="Q140" s="19">
        <v>0</v>
      </c>
      <c r="R140" s="20" t="e">
        <f t="shared" si="53"/>
        <v>#DIV/0!</v>
      </c>
      <c r="S140" s="19">
        <v>0</v>
      </c>
      <c r="T140" s="20" t="e">
        <f t="shared" si="54"/>
        <v>#DIV/0!</v>
      </c>
      <c r="U140" s="19">
        <v>0</v>
      </c>
      <c r="V140" s="20" t="e">
        <f t="shared" si="55"/>
        <v>#DIV/0!</v>
      </c>
      <c r="W140" s="19">
        <v>0</v>
      </c>
      <c r="X140" s="20" t="e">
        <f t="shared" si="56"/>
        <v>#DIV/0!</v>
      </c>
      <c r="Y140" s="19">
        <v>0</v>
      </c>
      <c r="Z140" s="19">
        <v>0</v>
      </c>
    </row>
    <row r="141" spans="1:26" x14ac:dyDescent="0.25">
      <c r="A141" s="10">
        <v>2</v>
      </c>
      <c r="B141" s="10">
        <v>1</v>
      </c>
      <c r="D141" s="80" t="s">
        <v>97</v>
      </c>
      <c r="E141" s="81">
        <v>41</v>
      </c>
      <c r="F141" s="81" t="s">
        <v>56</v>
      </c>
      <c r="G141" s="82">
        <f t="shared" ref="G141:Q141" si="58">SUM(G137:G140)</f>
        <v>110004.54000000001</v>
      </c>
      <c r="H141" s="82">
        <f t="shared" si="58"/>
        <v>111476.32999999999</v>
      </c>
      <c r="I141" s="82">
        <f t="shared" si="58"/>
        <v>122656</v>
      </c>
      <c r="J141" s="82">
        <f t="shared" si="58"/>
        <v>120060.6</v>
      </c>
      <c r="K141" s="82">
        <f t="shared" si="58"/>
        <v>131255</v>
      </c>
      <c r="L141" s="82">
        <f t="shared" si="58"/>
        <v>0</v>
      </c>
      <c r="M141" s="82">
        <f t="shared" si="58"/>
        <v>0</v>
      </c>
      <c r="N141" s="82">
        <f t="shared" si="58"/>
        <v>0</v>
      </c>
      <c r="O141" s="82">
        <f t="shared" si="58"/>
        <v>3317</v>
      </c>
      <c r="P141" s="82">
        <f t="shared" si="58"/>
        <v>134572</v>
      </c>
      <c r="Q141" s="82">
        <f t="shared" si="58"/>
        <v>20975.260000000002</v>
      </c>
      <c r="R141" s="83">
        <f t="shared" si="53"/>
        <v>0.15586645067324556</v>
      </c>
      <c r="S141" s="82">
        <f>SUM(S137:S140)</f>
        <v>65670.25</v>
      </c>
      <c r="T141" s="83">
        <f t="shared" si="54"/>
        <v>0.48799341616383796</v>
      </c>
      <c r="U141" s="82">
        <f>SUM(U137:U140)</f>
        <v>97947.97</v>
      </c>
      <c r="V141" s="83">
        <f t="shared" si="55"/>
        <v>0.72784806646256284</v>
      </c>
      <c r="W141" s="82">
        <f>SUM(W137:W140)</f>
        <v>134503.88</v>
      </c>
      <c r="X141" s="83">
        <f t="shared" si="56"/>
        <v>0.99949380257408682</v>
      </c>
      <c r="Y141" s="82">
        <f>SUM(Y137:Y140)</f>
        <v>137055</v>
      </c>
      <c r="Z141" s="82">
        <f>SUM(Z137:Z140)</f>
        <v>143355</v>
      </c>
    </row>
    <row r="142" spans="1:26" x14ac:dyDescent="0.25">
      <c r="A142" s="10">
        <v>2</v>
      </c>
      <c r="B142" s="10">
        <v>1</v>
      </c>
      <c r="D142" s="24"/>
      <c r="E142" s="25"/>
      <c r="F142" s="21" t="s">
        <v>31</v>
      </c>
      <c r="G142" s="22">
        <f t="shared" ref="G142:Q142" si="59">G136+G141</f>
        <v>119295.72</v>
      </c>
      <c r="H142" s="22">
        <f t="shared" si="59"/>
        <v>116413.32999999999</v>
      </c>
      <c r="I142" s="22">
        <f t="shared" si="59"/>
        <v>127701</v>
      </c>
      <c r="J142" s="22">
        <f t="shared" si="59"/>
        <v>125105.60000000001</v>
      </c>
      <c r="K142" s="22">
        <f t="shared" si="59"/>
        <v>136300</v>
      </c>
      <c r="L142" s="22">
        <f t="shared" si="59"/>
        <v>0</v>
      </c>
      <c r="M142" s="22">
        <f t="shared" si="59"/>
        <v>0</v>
      </c>
      <c r="N142" s="22">
        <f t="shared" si="59"/>
        <v>0</v>
      </c>
      <c r="O142" s="22">
        <f t="shared" si="59"/>
        <v>2732</v>
      </c>
      <c r="P142" s="22">
        <f t="shared" si="59"/>
        <v>139032</v>
      </c>
      <c r="Q142" s="22">
        <f t="shared" si="59"/>
        <v>21153.54</v>
      </c>
      <c r="R142" s="23">
        <f t="shared" si="53"/>
        <v>0.15214871396513033</v>
      </c>
      <c r="S142" s="22">
        <f>S136+S141</f>
        <v>67128.12</v>
      </c>
      <c r="T142" s="23">
        <f t="shared" si="54"/>
        <v>0.48282496116002066</v>
      </c>
      <c r="U142" s="22">
        <f>U136+U141</f>
        <v>100480.15</v>
      </c>
      <c r="V142" s="23">
        <f t="shared" si="55"/>
        <v>0.72271239714598079</v>
      </c>
      <c r="W142" s="22">
        <f>W136+W141</f>
        <v>138962.29</v>
      </c>
      <c r="X142" s="23">
        <f t="shared" si="56"/>
        <v>0.99949860463778128</v>
      </c>
      <c r="Y142" s="22">
        <f>Y136+Y141</f>
        <v>142100</v>
      </c>
      <c r="Z142" s="22">
        <f>Z136+Z141</f>
        <v>148400</v>
      </c>
    </row>
    <row r="144" spans="1:26" x14ac:dyDescent="0.25">
      <c r="D144" s="35" t="s">
        <v>156</v>
      </c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6"/>
      <c r="S144" s="35"/>
      <c r="T144" s="36"/>
      <c r="U144" s="35"/>
      <c r="V144" s="36"/>
      <c r="W144" s="35"/>
      <c r="X144" s="36"/>
      <c r="Y144" s="35"/>
      <c r="Z144" s="35"/>
    </row>
    <row r="145" spans="1:26" x14ac:dyDescent="0.25">
      <c r="D145" s="16" t="s">
        <v>33</v>
      </c>
      <c r="E145" s="16" t="s">
        <v>34</v>
      </c>
      <c r="F145" s="16" t="s">
        <v>35</v>
      </c>
      <c r="G145" s="16" t="s">
        <v>1</v>
      </c>
      <c r="H145" s="16" t="s">
        <v>2</v>
      </c>
      <c r="I145" s="16" t="s">
        <v>3</v>
      </c>
      <c r="J145" s="16" t="s">
        <v>4</v>
      </c>
      <c r="K145" s="16" t="s">
        <v>5</v>
      </c>
      <c r="L145" s="16" t="s">
        <v>6</v>
      </c>
      <c r="M145" s="16" t="s">
        <v>7</v>
      </c>
      <c r="N145" s="16" t="s">
        <v>8</v>
      </c>
      <c r="O145" s="16" t="s">
        <v>9</v>
      </c>
      <c r="P145" s="16" t="s">
        <v>10</v>
      </c>
      <c r="Q145" s="16" t="s">
        <v>11</v>
      </c>
      <c r="R145" s="17" t="s">
        <v>12</v>
      </c>
      <c r="S145" s="16" t="s">
        <v>13</v>
      </c>
      <c r="T145" s="17" t="s">
        <v>14</v>
      </c>
      <c r="U145" s="16" t="s">
        <v>15</v>
      </c>
      <c r="V145" s="17" t="s">
        <v>16</v>
      </c>
      <c r="W145" s="16" t="s">
        <v>17</v>
      </c>
      <c r="X145" s="17" t="s">
        <v>18</v>
      </c>
      <c r="Y145" s="16" t="s">
        <v>19</v>
      </c>
      <c r="Z145" s="16" t="s">
        <v>20</v>
      </c>
    </row>
    <row r="146" spans="1:26" x14ac:dyDescent="0.25">
      <c r="A146" s="10">
        <v>2</v>
      </c>
      <c r="B146" s="10">
        <v>2</v>
      </c>
      <c r="D146" s="1" t="s">
        <v>157</v>
      </c>
      <c r="E146" s="18">
        <v>630</v>
      </c>
      <c r="F146" s="18" t="s">
        <v>118</v>
      </c>
      <c r="G146" s="19">
        <v>0</v>
      </c>
      <c r="H146" s="19">
        <v>19300</v>
      </c>
      <c r="I146" s="19">
        <v>0</v>
      </c>
      <c r="J146" s="19">
        <v>57.39</v>
      </c>
      <c r="K146" s="19">
        <v>0</v>
      </c>
      <c r="L146" s="19">
        <v>2650</v>
      </c>
      <c r="M146" s="19"/>
      <c r="N146" s="19"/>
      <c r="O146" s="19">
        <v>200</v>
      </c>
      <c r="P146" s="19">
        <f>K146+SUM(L146:O146)</f>
        <v>2850</v>
      </c>
      <c r="Q146" s="19">
        <v>0</v>
      </c>
      <c r="R146" s="20">
        <f t="shared" ref="R146:R155" si="60">Q146/$P146</f>
        <v>0</v>
      </c>
      <c r="S146" s="19">
        <v>2650</v>
      </c>
      <c r="T146" s="20">
        <f t="shared" ref="T146:T155" si="61">S146/$P146</f>
        <v>0.92982456140350878</v>
      </c>
      <c r="U146" s="19">
        <v>2850</v>
      </c>
      <c r="V146" s="20">
        <f t="shared" ref="V146:V155" si="62">U146/$P146</f>
        <v>1</v>
      </c>
      <c r="W146" s="19">
        <v>2850</v>
      </c>
      <c r="X146" s="20">
        <f t="shared" ref="X146:X155" si="63">W146/$P146</f>
        <v>1</v>
      </c>
      <c r="Y146" s="19">
        <v>0</v>
      </c>
      <c r="Z146" s="19">
        <v>0</v>
      </c>
    </row>
    <row r="147" spans="1:26" x14ac:dyDescent="0.25">
      <c r="A147" s="10">
        <v>2</v>
      </c>
      <c r="B147" s="10">
        <v>2</v>
      </c>
      <c r="D147" s="1"/>
      <c r="E147" s="18">
        <v>640</v>
      </c>
      <c r="F147" s="18" t="s">
        <v>119</v>
      </c>
      <c r="G147" s="19">
        <v>1245</v>
      </c>
      <c r="H147" s="19">
        <v>1162</v>
      </c>
      <c r="I147" s="19">
        <v>1200</v>
      </c>
      <c r="J147" s="19">
        <v>1029.2</v>
      </c>
      <c r="K147" s="19">
        <v>1000</v>
      </c>
      <c r="L147" s="19"/>
      <c r="M147" s="19"/>
      <c r="N147" s="19"/>
      <c r="O147" s="19"/>
      <c r="P147" s="19">
        <f>K147+SUM(L147:O147)</f>
        <v>1000</v>
      </c>
      <c r="Q147" s="19">
        <v>249</v>
      </c>
      <c r="R147" s="20">
        <f t="shared" si="60"/>
        <v>0.249</v>
      </c>
      <c r="S147" s="19">
        <v>282.2</v>
      </c>
      <c r="T147" s="20">
        <f t="shared" si="61"/>
        <v>0.28220000000000001</v>
      </c>
      <c r="U147" s="19">
        <v>398.4</v>
      </c>
      <c r="V147" s="20">
        <f t="shared" si="62"/>
        <v>0.39839999999999998</v>
      </c>
      <c r="W147" s="19">
        <v>564.4</v>
      </c>
      <c r="X147" s="20">
        <f t="shared" si="63"/>
        <v>0.56440000000000001</v>
      </c>
      <c r="Y147" s="19">
        <f>K147</f>
        <v>1000</v>
      </c>
      <c r="Z147" s="19">
        <f>Y147</f>
        <v>1000</v>
      </c>
    </row>
    <row r="148" spans="1:26" x14ac:dyDescent="0.25">
      <c r="A148" s="10">
        <v>2</v>
      </c>
      <c r="B148" s="10">
        <v>2</v>
      </c>
      <c r="D148" s="1"/>
      <c r="E148" s="18" t="s">
        <v>54</v>
      </c>
      <c r="F148" s="18" t="s">
        <v>22</v>
      </c>
      <c r="G148" s="19">
        <f>418726.33-G153</f>
        <v>347862.30000000005</v>
      </c>
      <c r="H148" s="19">
        <f>437444.92-H153</f>
        <v>360711.56</v>
      </c>
      <c r="I148" s="19">
        <f>455838-I153</f>
        <v>393498</v>
      </c>
      <c r="J148" s="19">
        <f>464942.5-J153</f>
        <v>394063.5</v>
      </c>
      <c r="K148" s="19">
        <v>415330</v>
      </c>
      <c r="L148" s="19"/>
      <c r="M148" s="19"/>
      <c r="N148" s="19"/>
      <c r="O148" s="19">
        <v>2636</v>
      </c>
      <c r="P148" s="19">
        <f>K148+SUM(L148:O148)</f>
        <v>417966</v>
      </c>
      <c r="Q148" s="19">
        <v>65619.55</v>
      </c>
      <c r="R148" s="20">
        <f t="shared" si="60"/>
        <v>0.15699733949651407</v>
      </c>
      <c r="S148" s="19">
        <v>171175.8</v>
      </c>
      <c r="T148" s="20">
        <f t="shared" si="61"/>
        <v>0.40954479550968259</v>
      </c>
      <c r="U148" s="19">
        <v>255505.56</v>
      </c>
      <c r="V148" s="20">
        <f t="shared" si="62"/>
        <v>0.61130704411363601</v>
      </c>
      <c r="W148" s="19">
        <v>417583.61</v>
      </c>
      <c r="X148" s="20">
        <f t="shared" si="63"/>
        <v>0.99908511697123681</v>
      </c>
      <c r="Y148" s="19">
        <f>K148</f>
        <v>415330</v>
      </c>
      <c r="Z148" s="19">
        <f>Y148</f>
        <v>415330</v>
      </c>
    </row>
    <row r="149" spans="1:26" x14ac:dyDescent="0.25">
      <c r="A149" s="10">
        <v>2</v>
      </c>
      <c r="B149" s="10">
        <v>2</v>
      </c>
      <c r="D149" s="80" t="s">
        <v>97</v>
      </c>
      <c r="E149" s="81">
        <v>111</v>
      </c>
      <c r="F149" s="81" t="s">
        <v>139</v>
      </c>
      <c r="G149" s="82">
        <f t="shared" ref="G149:Q149" si="64">SUM(G146:G148)</f>
        <v>349107.30000000005</v>
      </c>
      <c r="H149" s="82">
        <f t="shared" si="64"/>
        <v>381173.56</v>
      </c>
      <c r="I149" s="82">
        <f t="shared" si="64"/>
        <v>394698</v>
      </c>
      <c r="J149" s="82">
        <f t="shared" si="64"/>
        <v>395150.09</v>
      </c>
      <c r="K149" s="82">
        <f t="shared" si="64"/>
        <v>416330</v>
      </c>
      <c r="L149" s="82">
        <f t="shared" si="64"/>
        <v>2650</v>
      </c>
      <c r="M149" s="82">
        <f t="shared" si="64"/>
        <v>0</v>
      </c>
      <c r="N149" s="82">
        <f t="shared" si="64"/>
        <v>0</v>
      </c>
      <c r="O149" s="82">
        <f t="shared" si="64"/>
        <v>2836</v>
      </c>
      <c r="P149" s="82">
        <f t="shared" si="64"/>
        <v>421816</v>
      </c>
      <c r="Q149" s="82">
        <f t="shared" si="64"/>
        <v>65868.55</v>
      </c>
      <c r="R149" s="83">
        <f t="shared" si="60"/>
        <v>0.15615469778291957</v>
      </c>
      <c r="S149" s="82">
        <f>SUM(S146:S148)</f>
        <v>174108</v>
      </c>
      <c r="T149" s="83">
        <f t="shared" si="61"/>
        <v>0.41275816943880744</v>
      </c>
      <c r="U149" s="82">
        <f>SUM(U146:U148)</f>
        <v>258753.96</v>
      </c>
      <c r="V149" s="83">
        <f t="shared" si="62"/>
        <v>0.61342850911297819</v>
      </c>
      <c r="W149" s="82">
        <f>SUM(W146:W148)</f>
        <v>420998.01</v>
      </c>
      <c r="X149" s="83">
        <f t="shared" si="63"/>
        <v>0.99806078953856658</v>
      </c>
      <c r="Y149" s="82">
        <f>SUM(Y146:Y148)</f>
        <v>416330</v>
      </c>
      <c r="Z149" s="82">
        <f>SUM(Z146:Z148)</f>
        <v>416330</v>
      </c>
    </row>
    <row r="150" spans="1:26" x14ac:dyDescent="0.25">
      <c r="A150" s="10">
        <v>2</v>
      </c>
      <c r="B150" s="10">
        <v>2</v>
      </c>
      <c r="D150" s="1" t="s">
        <v>157</v>
      </c>
      <c r="E150" s="18">
        <v>620</v>
      </c>
      <c r="F150" s="18" t="s">
        <v>117</v>
      </c>
      <c r="G150" s="19">
        <v>186.11</v>
      </c>
      <c r="H150" s="19">
        <v>0</v>
      </c>
      <c r="I150" s="19">
        <v>0</v>
      </c>
      <c r="J150" s="19">
        <v>0</v>
      </c>
      <c r="K150" s="19">
        <v>0</v>
      </c>
      <c r="L150" s="19"/>
      <c r="M150" s="19"/>
      <c r="N150" s="19"/>
      <c r="O150" s="19"/>
      <c r="P150" s="19">
        <f>K150+SUM(L150:O150)</f>
        <v>0</v>
      </c>
      <c r="Q150" s="19">
        <v>0</v>
      </c>
      <c r="R150" s="20" t="e">
        <f t="shared" si="60"/>
        <v>#DIV/0!</v>
      </c>
      <c r="S150" s="19">
        <v>0</v>
      </c>
      <c r="T150" s="20" t="e">
        <f t="shared" si="61"/>
        <v>#DIV/0!</v>
      </c>
      <c r="U150" s="19">
        <v>0</v>
      </c>
      <c r="V150" s="20" t="e">
        <f t="shared" si="62"/>
        <v>#DIV/0!</v>
      </c>
      <c r="W150" s="19">
        <v>0</v>
      </c>
      <c r="X150" s="20" t="e">
        <f t="shared" si="63"/>
        <v>#DIV/0!</v>
      </c>
      <c r="Y150" s="19">
        <v>0</v>
      </c>
      <c r="Z150" s="19">
        <v>0</v>
      </c>
    </row>
    <row r="151" spans="1:26" x14ac:dyDescent="0.25">
      <c r="A151" s="10">
        <v>2</v>
      </c>
      <c r="B151" s="10">
        <v>2</v>
      </c>
      <c r="D151" s="1"/>
      <c r="E151" s="18">
        <v>630</v>
      </c>
      <c r="F151" s="18" t="s">
        <v>118</v>
      </c>
      <c r="G151" s="19">
        <v>3546.02</v>
      </c>
      <c r="H151" s="19">
        <v>10831.57</v>
      </c>
      <c r="I151" s="19">
        <v>1637</v>
      </c>
      <c r="J151" s="19">
        <v>3257.43</v>
      </c>
      <c r="K151" s="19">
        <v>3356</v>
      </c>
      <c r="L151" s="19"/>
      <c r="M151" s="19"/>
      <c r="N151" s="19"/>
      <c r="O151" s="19">
        <v>-212</v>
      </c>
      <c r="P151" s="19">
        <f>K151+SUM(L151:O151)</f>
        <v>3144</v>
      </c>
      <c r="Q151" s="19">
        <v>8.25</v>
      </c>
      <c r="R151" s="20">
        <f t="shared" si="60"/>
        <v>2.6240458015267176E-3</v>
      </c>
      <c r="S151" s="19">
        <v>2309.42</v>
      </c>
      <c r="T151" s="20">
        <f t="shared" si="61"/>
        <v>0.73454834605597963</v>
      </c>
      <c r="U151" s="19">
        <v>2309.42</v>
      </c>
      <c r="V151" s="20">
        <f t="shared" si="62"/>
        <v>0.73454834605597963</v>
      </c>
      <c r="W151" s="19">
        <v>2669.87</v>
      </c>
      <c r="X151" s="20">
        <f t="shared" si="63"/>
        <v>0.84919529262086513</v>
      </c>
      <c r="Y151" s="19">
        <v>3356</v>
      </c>
      <c r="Z151" s="19">
        <v>3356</v>
      </c>
    </row>
    <row r="152" spans="1:26" x14ac:dyDescent="0.25">
      <c r="A152" s="10">
        <v>2</v>
      </c>
      <c r="B152" s="10">
        <v>2</v>
      </c>
      <c r="D152" s="1"/>
      <c r="E152" s="18">
        <v>640</v>
      </c>
      <c r="F152" s="18" t="s">
        <v>119</v>
      </c>
      <c r="G152" s="19">
        <v>1613.4</v>
      </c>
      <c r="H152" s="19">
        <v>1048.92</v>
      </c>
      <c r="I152" s="19">
        <v>1400</v>
      </c>
      <c r="J152" s="19">
        <v>893.27</v>
      </c>
      <c r="K152" s="19">
        <v>900</v>
      </c>
      <c r="L152" s="19"/>
      <c r="M152" s="19"/>
      <c r="N152" s="19"/>
      <c r="O152" s="19">
        <v>12</v>
      </c>
      <c r="P152" s="19">
        <f>K152+SUM(L152:O152)</f>
        <v>912</v>
      </c>
      <c r="Q152" s="19">
        <v>16.3</v>
      </c>
      <c r="R152" s="20">
        <f t="shared" si="60"/>
        <v>1.787280701754386E-2</v>
      </c>
      <c r="S152" s="19">
        <v>72.36</v>
      </c>
      <c r="T152" s="20">
        <f t="shared" si="61"/>
        <v>7.9342105263157894E-2</v>
      </c>
      <c r="U152" s="19">
        <v>72.36</v>
      </c>
      <c r="V152" s="20">
        <f t="shared" si="62"/>
        <v>7.9342105263157894E-2</v>
      </c>
      <c r="W152" s="19">
        <v>777.29</v>
      </c>
      <c r="X152" s="20">
        <f t="shared" si="63"/>
        <v>0.85229166666666667</v>
      </c>
      <c r="Y152" s="19">
        <v>900</v>
      </c>
      <c r="Z152" s="19">
        <v>900</v>
      </c>
    </row>
    <row r="153" spans="1:26" x14ac:dyDescent="0.25">
      <c r="A153" s="10">
        <v>2</v>
      </c>
      <c r="B153" s="10">
        <v>2</v>
      </c>
      <c r="D153" s="1"/>
      <c r="E153" s="18" t="s">
        <v>54</v>
      </c>
      <c r="F153" s="18" t="s">
        <v>158</v>
      </c>
      <c r="G153" s="19">
        <v>70864.03</v>
      </c>
      <c r="H153" s="19">
        <v>76733.36</v>
      </c>
      <c r="I153" s="19">
        <v>62340</v>
      </c>
      <c r="J153" s="19">
        <v>70879</v>
      </c>
      <c r="K153" s="19">
        <f>75403+5027</f>
        <v>80430</v>
      </c>
      <c r="L153" s="19"/>
      <c r="M153" s="19"/>
      <c r="N153" s="19"/>
      <c r="O153" s="19">
        <v>-1438</v>
      </c>
      <c r="P153" s="19">
        <f>K153+SUM(L153:O153)</f>
        <v>78992</v>
      </c>
      <c r="Q153" s="19">
        <v>13186.74</v>
      </c>
      <c r="R153" s="20">
        <f t="shared" si="60"/>
        <v>0.16693766457362771</v>
      </c>
      <c r="S153" s="19">
        <v>32640.18</v>
      </c>
      <c r="T153" s="20">
        <f t="shared" si="61"/>
        <v>0.41320867935993516</v>
      </c>
      <c r="U153" s="19">
        <v>49661.1</v>
      </c>
      <c r="V153" s="20">
        <f t="shared" si="62"/>
        <v>0.62868518330970224</v>
      </c>
      <c r="W153" s="19">
        <v>74439.17</v>
      </c>
      <c r="X153" s="20">
        <f t="shared" si="63"/>
        <v>0.94236340388900142</v>
      </c>
      <c r="Y153" s="19">
        <f>K153</f>
        <v>80430</v>
      </c>
      <c r="Z153" s="19">
        <f>Y153</f>
        <v>80430</v>
      </c>
    </row>
    <row r="154" spans="1:26" x14ac:dyDescent="0.25">
      <c r="A154" s="10">
        <v>2</v>
      </c>
      <c r="B154" s="10">
        <v>2</v>
      </c>
      <c r="D154" s="80" t="s">
        <v>97</v>
      </c>
      <c r="E154" s="81">
        <v>41</v>
      </c>
      <c r="F154" s="81" t="s">
        <v>56</v>
      </c>
      <c r="G154" s="82">
        <f t="shared" ref="G154:Q154" si="65">SUM(G150:G153)</f>
        <v>76209.56</v>
      </c>
      <c r="H154" s="82">
        <f t="shared" si="65"/>
        <v>88613.85</v>
      </c>
      <c r="I154" s="82">
        <f t="shared" si="65"/>
        <v>65377</v>
      </c>
      <c r="J154" s="82">
        <f t="shared" si="65"/>
        <v>75029.7</v>
      </c>
      <c r="K154" s="82">
        <f t="shared" si="65"/>
        <v>84686</v>
      </c>
      <c r="L154" s="82">
        <f t="shared" si="65"/>
        <v>0</v>
      </c>
      <c r="M154" s="82">
        <f t="shared" si="65"/>
        <v>0</v>
      </c>
      <c r="N154" s="82">
        <f t="shared" si="65"/>
        <v>0</v>
      </c>
      <c r="O154" s="82">
        <f t="shared" si="65"/>
        <v>-1638</v>
      </c>
      <c r="P154" s="82">
        <f t="shared" si="65"/>
        <v>83048</v>
      </c>
      <c r="Q154" s="82">
        <f t="shared" si="65"/>
        <v>13211.289999999999</v>
      </c>
      <c r="R154" s="83">
        <f t="shared" si="60"/>
        <v>0.15908017050380502</v>
      </c>
      <c r="S154" s="82">
        <f>SUM(S150:S153)</f>
        <v>35021.96</v>
      </c>
      <c r="T154" s="83">
        <f t="shared" si="61"/>
        <v>0.42170744629611789</v>
      </c>
      <c r="U154" s="82">
        <f>SUM(U150:U153)</f>
        <v>52042.879999999997</v>
      </c>
      <c r="V154" s="83">
        <f t="shared" si="62"/>
        <v>0.6266602446777767</v>
      </c>
      <c r="W154" s="82">
        <f>SUM(W150:W153)</f>
        <v>77886.33</v>
      </c>
      <c r="X154" s="83">
        <f t="shared" si="63"/>
        <v>0.93784714863693286</v>
      </c>
      <c r="Y154" s="82">
        <f>SUM(Y150:Y153)</f>
        <v>84686</v>
      </c>
      <c r="Z154" s="82">
        <f>SUM(Z150:Z153)</f>
        <v>84686</v>
      </c>
    </row>
    <row r="155" spans="1:26" x14ac:dyDescent="0.25">
      <c r="A155" s="10">
        <v>2</v>
      </c>
      <c r="B155" s="10">
        <v>2</v>
      </c>
      <c r="D155" s="24"/>
      <c r="E155" s="25"/>
      <c r="F155" s="21" t="s">
        <v>31</v>
      </c>
      <c r="G155" s="22">
        <f t="shared" ref="G155:Q155" si="66">G149+G154</f>
        <v>425316.86000000004</v>
      </c>
      <c r="H155" s="22">
        <f t="shared" si="66"/>
        <v>469787.41000000003</v>
      </c>
      <c r="I155" s="22">
        <f t="shared" si="66"/>
        <v>460075</v>
      </c>
      <c r="J155" s="22">
        <f t="shared" si="66"/>
        <v>470179.79000000004</v>
      </c>
      <c r="K155" s="22">
        <f t="shared" si="66"/>
        <v>501016</v>
      </c>
      <c r="L155" s="22">
        <f t="shared" si="66"/>
        <v>2650</v>
      </c>
      <c r="M155" s="22">
        <f t="shared" si="66"/>
        <v>0</v>
      </c>
      <c r="N155" s="22">
        <f t="shared" si="66"/>
        <v>0</v>
      </c>
      <c r="O155" s="22">
        <f t="shared" si="66"/>
        <v>1198</v>
      </c>
      <c r="P155" s="22">
        <f t="shared" si="66"/>
        <v>504864</v>
      </c>
      <c r="Q155" s="22">
        <f t="shared" si="66"/>
        <v>79079.839999999997</v>
      </c>
      <c r="R155" s="23">
        <f t="shared" si="60"/>
        <v>0.15663592571464791</v>
      </c>
      <c r="S155" s="22">
        <f>S149+S154</f>
        <v>209129.96</v>
      </c>
      <c r="T155" s="23">
        <f t="shared" si="61"/>
        <v>0.41423028776066423</v>
      </c>
      <c r="U155" s="22">
        <f>U149+U154</f>
        <v>310796.83999999997</v>
      </c>
      <c r="V155" s="23">
        <f t="shared" si="62"/>
        <v>0.61560507384166818</v>
      </c>
      <c r="W155" s="22">
        <f>W149+W154</f>
        <v>498884.34</v>
      </c>
      <c r="X155" s="23">
        <f t="shared" si="63"/>
        <v>0.98815589941053439</v>
      </c>
      <c r="Y155" s="22">
        <f>Y149+Y154</f>
        <v>501016</v>
      </c>
      <c r="Z155" s="22">
        <f>Z149+Z154</f>
        <v>501016</v>
      </c>
    </row>
    <row r="157" spans="1:26" x14ac:dyDescent="0.25">
      <c r="D157" s="35" t="s">
        <v>159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6"/>
      <c r="S157" s="35"/>
      <c r="T157" s="36"/>
      <c r="U157" s="35"/>
      <c r="V157" s="36"/>
      <c r="W157" s="35"/>
      <c r="X157" s="36"/>
      <c r="Y157" s="35"/>
      <c r="Z157" s="35"/>
    </row>
    <row r="158" spans="1:26" x14ac:dyDescent="0.25">
      <c r="D158" s="16" t="s">
        <v>33</v>
      </c>
      <c r="E158" s="16" t="s">
        <v>34</v>
      </c>
      <c r="F158" s="16" t="s">
        <v>35</v>
      </c>
      <c r="G158" s="16" t="s">
        <v>1</v>
      </c>
      <c r="H158" s="16" t="s">
        <v>2</v>
      </c>
      <c r="I158" s="16" t="s">
        <v>3</v>
      </c>
      <c r="J158" s="16" t="s">
        <v>4</v>
      </c>
      <c r="K158" s="16" t="s">
        <v>5</v>
      </c>
      <c r="L158" s="16" t="s">
        <v>6</v>
      </c>
      <c r="M158" s="16" t="s">
        <v>7</v>
      </c>
      <c r="N158" s="16" t="s">
        <v>8</v>
      </c>
      <c r="O158" s="16" t="s">
        <v>9</v>
      </c>
      <c r="P158" s="16" t="s">
        <v>10</v>
      </c>
      <c r="Q158" s="16" t="s">
        <v>11</v>
      </c>
      <c r="R158" s="17" t="s">
        <v>12</v>
      </c>
      <c r="S158" s="16" t="s">
        <v>13</v>
      </c>
      <c r="T158" s="17" t="s">
        <v>14</v>
      </c>
      <c r="U158" s="16" t="s">
        <v>15</v>
      </c>
      <c r="V158" s="17" t="s">
        <v>16</v>
      </c>
      <c r="W158" s="16" t="s">
        <v>17</v>
      </c>
      <c r="X158" s="17" t="s">
        <v>18</v>
      </c>
      <c r="Y158" s="16" t="s">
        <v>19</v>
      </c>
      <c r="Z158" s="16" t="s">
        <v>20</v>
      </c>
    </row>
    <row r="159" spans="1:26" x14ac:dyDescent="0.25">
      <c r="A159" s="10">
        <v>2</v>
      </c>
      <c r="B159" s="10">
        <v>3</v>
      </c>
      <c r="D159" s="6" t="s">
        <v>160</v>
      </c>
      <c r="E159" s="18">
        <v>610</v>
      </c>
      <c r="F159" s="18" t="s">
        <v>116</v>
      </c>
      <c r="G159" s="19">
        <v>3597.69</v>
      </c>
      <c r="H159" s="19">
        <v>1745</v>
      </c>
      <c r="I159" s="19">
        <v>0</v>
      </c>
      <c r="J159" s="19">
        <v>1062</v>
      </c>
      <c r="K159" s="19">
        <v>0</v>
      </c>
      <c r="L159" s="19"/>
      <c r="M159" s="19"/>
      <c r="N159" s="19"/>
      <c r="O159" s="19"/>
      <c r="P159" s="19">
        <f>K159+SUM(L159:O159)</f>
        <v>0</v>
      </c>
      <c r="Q159" s="19">
        <v>0</v>
      </c>
      <c r="R159" s="20" t="e">
        <f t="shared" ref="R159:R167" si="67">Q159/$P159</f>
        <v>#DIV/0!</v>
      </c>
      <c r="S159" s="19">
        <v>0</v>
      </c>
      <c r="T159" s="20" t="e">
        <f t="shared" ref="T159:T167" si="68">S159/$P159</f>
        <v>#DIV/0!</v>
      </c>
      <c r="U159" s="19">
        <v>0</v>
      </c>
      <c r="V159" s="20" t="e">
        <f t="shared" ref="V159:V167" si="69">U159/$P159</f>
        <v>#DIV/0!</v>
      </c>
      <c r="W159" s="19">
        <v>0</v>
      </c>
      <c r="X159" s="20" t="e">
        <f t="shared" ref="X159:X167" si="70">W159/$P159</f>
        <v>#DIV/0!</v>
      </c>
      <c r="Y159" s="19">
        <v>0</v>
      </c>
      <c r="Z159" s="19">
        <v>0</v>
      </c>
    </row>
    <row r="160" spans="1:26" x14ac:dyDescent="0.25">
      <c r="A160" s="10">
        <v>2</v>
      </c>
      <c r="B160" s="10">
        <v>3</v>
      </c>
      <c r="D160" s="6"/>
      <c r="E160" s="18">
        <v>630</v>
      </c>
      <c r="F160" s="18" t="s">
        <v>118</v>
      </c>
      <c r="G160" s="19">
        <v>0</v>
      </c>
      <c r="H160" s="19">
        <v>0</v>
      </c>
      <c r="I160" s="19">
        <v>0</v>
      </c>
      <c r="J160" s="19">
        <v>0</v>
      </c>
      <c r="K160" s="19">
        <v>720</v>
      </c>
      <c r="L160" s="19"/>
      <c r="M160" s="19"/>
      <c r="N160" s="19"/>
      <c r="O160" s="19">
        <v>61</v>
      </c>
      <c r="P160" s="19">
        <f>K160+SUM(L160:O160)</f>
        <v>781</v>
      </c>
      <c r="Q160" s="19">
        <v>0</v>
      </c>
      <c r="R160" s="20">
        <f t="shared" si="67"/>
        <v>0</v>
      </c>
      <c r="S160" s="19">
        <v>0</v>
      </c>
      <c r="T160" s="20">
        <f t="shared" si="68"/>
        <v>0</v>
      </c>
      <c r="U160" s="19">
        <v>0</v>
      </c>
      <c r="V160" s="20">
        <f t="shared" si="69"/>
        <v>0</v>
      </c>
      <c r="W160" s="19">
        <v>781</v>
      </c>
      <c r="X160" s="20">
        <f t="shared" si="70"/>
        <v>1</v>
      </c>
      <c r="Y160" s="19">
        <v>720</v>
      </c>
      <c r="Z160" s="19">
        <v>720</v>
      </c>
    </row>
    <row r="161" spans="1:26" x14ac:dyDescent="0.25">
      <c r="A161" s="10">
        <v>2</v>
      </c>
      <c r="B161" s="10">
        <v>3</v>
      </c>
      <c r="D161" s="80" t="s">
        <v>97</v>
      </c>
      <c r="E161" s="81">
        <v>111</v>
      </c>
      <c r="F161" s="81" t="s">
        <v>139</v>
      </c>
      <c r="G161" s="82">
        <f t="shared" ref="G161:Q161" si="71">SUM(G159:G160)</f>
        <v>3597.69</v>
      </c>
      <c r="H161" s="82">
        <f t="shared" si="71"/>
        <v>1745</v>
      </c>
      <c r="I161" s="82">
        <f t="shared" si="71"/>
        <v>0</v>
      </c>
      <c r="J161" s="82">
        <f t="shared" si="71"/>
        <v>1062</v>
      </c>
      <c r="K161" s="82">
        <f t="shared" si="71"/>
        <v>720</v>
      </c>
      <c r="L161" s="82">
        <f t="shared" si="71"/>
        <v>0</v>
      </c>
      <c r="M161" s="82">
        <f t="shared" si="71"/>
        <v>0</v>
      </c>
      <c r="N161" s="82">
        <f t="shared" si="71"/>
        <v>0</v>
      </c>
      <c r="O161" s="82">
        <f t="shared" si="71"/>
        <v>61</v>
      </c>
      <c r="P161" s="82">
        <f t="shared" si="71"/>
        <v>781</v>
      </c>
      <c r="Q161" s="82">
        <f t="shared" si="71"/>
        <v>0</v>
      </c>
      <c r="R161" s="83">
        <f t="shared" si="67"/>
        <v>0</v>
      </c>
      <c r="S161" s="82">
        <f>SUM(S159:S160)</f>
        <v>0</v>
      </c>
      <c r="T161" s="83">
        <f t="shared" si="68"/>
        <v>0</v>
      </c>
      <c r="U161" s="82">
        <f>SUM(U159:U160)</f>
        <v>0</v>
      </c>
      <c r="V161" s="83">
        <f t="shared" si="69"/>
        <v>0</v>
      </c>
      <c r="W161" s="82">
        <f>SUM(W159:W160)</f>
        <v>781</v>
      </c>
      <c r="X161" s="83">
        <f t="shared" si="70"/>
        <v>1</v>
      </c>
      <c r="Y161" s="82">
        <f>SUM(Y159:Y160)</f>
        <v>720</v>
      </c>
      <c r="Z161" s="82">
        <f>SUM(Z159:Z160)</f>
        <v>720</v>
      </c>
    </row>
    <row r="162" spans="1:26" x14ac:dyDescent="0.25">
      <c r="A162" s="10">
        <v>2</v>
      </c>
      <c r="B162" s="10">
        <v>3</v>
      </c>
      <c r="D162" s="7" t="s">
        <v>160</v>
      </c>
      <c r="E162" s="18">
        <v>610</v>
      </c>
      <c r="F162" s="18" t="s">
        <v>116</v>
      </c>
      <c r="G162" s="19">
        <v>13054.68</v>
      </c>
      <c r="H162" s="19">
        <v>21516</v>
      </c>
      <c r="I162" s="19">
        <v>17309</v>
      </c>
      <c r="J162" s="19">
        <v>13010.75</v>
      </c>
      <c r="K162" s="19">
        <v>5794</v>
      </c>
      <c r="L162" s="19"/>
      <c r="M162" s="19"/>
      <c r="N162" s="19"/>
      <c r="O162" s="19">
        <v>1</v>
      </c>
      <c r="P162" s="19">
        <f>K162+SUM(L162:O162)</f>
        <v>5795</v>
      </c>
      <c r="Q162" s="19">
        <v>776.77</v>
      </c>
      <c r="R162" s="20">
        <f t="shared" si="67"/>
        <v>0.1340414150129422</v>
      </c>
      <c r="S162" s="19">
        <v>2270.4299999999998</v>
      </c>
      <c r="T162" s="20">
        <f t="shared" si="68"/>
        <v>0.39179119930974976</v>
      </c>
      <c r="U162" s="19">
        <v>2912.79</v>
      </c>
      <c r="V162" s="20">
        <f t="shared" si="69"/>
        <v>0.5026384814495255</v>
      </c>
      <c r="W162" s="19">
        <v>4286.6099999999997</v>
      </c>
      <c r="X162" s="20">
        <f t="shared" si="70"/>
        <v>0.7397083692838653</v>
      </c>
      <c r="Y162" s="19">
        <v>5157</v>
      </c>
      <c r="Z162" s="19">
        <v>5357</v>
      </c>
    </row>
    <row r="163" spans="1:26" x14ac:dyDescent="0.25">
      <c r="A163" s="10">
        <v>2</v>
      </c>
      <c r="B163" s="10">
        <v>3</v>
      </c>
      <c r="D163" s="7"/>
      <c r="E163" s="18">
        <v>620</v>
      </c>
      <c r="F163" s="18" t="s">
        <v>117</v>
      </c>
      <c r="G163" s="19">
        <v>7544.32</v>
      </c>
      <c r="H163" s="19">
        <v>9113.81</v>
      </c>
      <c r="I163" s="19">
        <v>7046</v>
      </c>
      <c r="J163" s="19">
        <v>6167.85</v>
      </c>
      <c r="K163" s="19">
        <v>6135</v>
      </c>
      <c r="L163" s="19"/>
      <c r="M163" s="19"/>
      <c r="N163" s="19"/>
      <c r="O163" s="19"/>
      <c r="P163" s="19">
        <f>K163+SUM(L163:O163)</f>
        <v>6135</v>
      </c>
      <c r="Q163" s="19">
        <v>887.57</v>
      </c>
      <c r="R163" s="20">
        <f t="shared" si="67"/>
        <v>0.14467318663406684</v>
      </c>
      <c r="S163" s="19">
        <v>2351.4699999999998</v>
      </c>
      <c r="T163" s="20">
        <f t="shared" si="68"/>
        <v>0.38328769356153214</v>
      </c>
      <c r="U163" s="19">
        <v>3301.43</v>
      </c>
      <c r="V163" s="20">
        <f t="shared" si="69"/>
        <v>0.53813039934800322</v>
      </c>
      <c r="W163" s="19">
        <v>4413.91</v>
      </c>
      <c r="X163" s="20">
        <f t="shared" si="70"/>
        <v>0.71946373268133657</v>
      </c>
      <c r="Y163" s="19">
        <v>5353</v>
      </c>
      <c r="Z163" s="19">
        <v>5422</v>
      </c>
    </row>
    <row r="164" spans="1:26" x14ac:dyDescent="0.25">
      <c r="A164" s="10">
        <v>2</v>
      </c>
      <c r="B164" s="10">
        <v>3</v>
      </c>
      <c r="D164" s="7"/>
      <c r="E164" s="18">
        <v>630</v>
      </c>
      <c r="F164" s="18" t="s">
        <v>118</v>
      </c>
      <c r="G164" s="19">
        <v>12896.36</v>
      </c>
      <c r="H164" s="19">
        <v>9275.85</v>
      </c>
      <c r="I164" s="19">
        <v>8349</v>
      </c>
      <c r="J164" s="19">
        <v>8536.3799999999992</v>
      </c>
      <c r="K164" s="19">
        <v>17595</v>
      </c>
      <c r="L164" s="19"/>
      <c r="M164" s="19"/>
      <c r="N164" s="19"/>
      <c r="O164" s="19">
        <v>-62</v>
      </c>
      <c r="P164" s="19">
        <f>K164+SUM(L164:O164)</f>
        <v>17533</v>
      </c>
      <c r="Q164" s="19">
        <v>1664.87</v>
      </c>
      <c r="R164" s="20">
        <f t="shared" si="67"/>
        <v>9.4956367991786916E-2</v>
      </c>
      <c r="S164" s="19">
        <v>5217.3999999999996</v>
      </c>
      <c r="T164" s="20">
        <f t="shared" si="68"/>
        <v>0.29757599954371755</v>
      </c>
      <c r="U164" s="19">
        <v>8166.33</v>
      </c>
      <c r="V164" s="20">
        <f t="shared" si="69"/>
        <v>0.4657691210859522</v>
      </c>
      <c r="W164" s="19">
        <v>10503.33</v>
      </c>
      <c r="X164" s="20">
        <f t="shared" si="70"/>
        <v>0.5990606285290595</v>
      </c>
      <c r="Y164" s="19">
        <v>20614</v>
      </c>
      <c r="Z164" s="19">
        <v>20345</v>
      </c>
    </row>
    <row r="165" spans="1:26" x14ac:dyDescent="0.25">
      <c r="A165" s="10">
        <v>2</v>
      </c>
      <c r="B165" s="10">
        <v>3</v>
      </c>
      <c r="D165" s="7"/>
      <c r="E165" s="18">
        <v>640</v>
      </c>
      <c r="F165" s="18" t="s">
        <v>119</v>
      </c>
      <c r="G165" s="19">
        <v>120.11</v>
      </c>
      <c r="H165" s="19">
        <v>0</v>
      </c>
      <c r="I165" s="19">
        <v>0</v>
      </c>
      <c r="J165" s="19">
        <v>1226.17</v>
      </c>
      <c r="K165" s="19">
        <v>2500</v>
      </c>
      <c r="L165" s="19"/>
      <c r="M165" s="19"/>
      <c r="N165" s="19"/>
      <c r="O165" s="19"/>
      <c r="P165" s="19">
        <f>K165+SUM(L165:O165)</f>
        <v>2500</v>
      </c>
      <c r="Q165" s="19">
        <v>1596</v>
      </c>
      <c r="R165" s="20">
        <f t="shared" si="67"/>
        <v>0.63839999999999997</v>
      </c>
      <c r="S165" s="19">
        <v>1596</v>
      </c>
      <c r="T165" s="20">
        <f t="shared" si="68"/>
        <v>0.63839999999999997</v>
      </c>
      <c r="U165" s="19">
        <v>1596</v>
      </c>
      <c r="V165" s="20">
        <f t="shared" si="69"/>
        <v>0.63839999999999997</v>
      </c>
      <c r="W165" s="19">
        <v>1596</v>
      </c>
      <c r="X165" s="20">
        <f t="shared" si="70"/>
        <v>0.63839999999999997</v>
      </c>
      <c r="Y165" s="19">
        <v>900</v>
      </c>
      <c r="Z165" s="19">
        <v>900</v>
      </c>
    </row>
    <row r="166" spans="1:26" x14ac:dyDescent="0.25">
      <c r="A166" s="10">
        <v>2</v>
      </c>
      <c r="B166" s="10">
        <v>3</v>
      </c>
      <c r="D166" s="80" t="s">
        <v>97</v>
      </c>
      <c r="E166" s="81">
        <v>41</v>
      </c>
      <c r="F166" s="81" t="s">
        <v>56</v>
      </c>
      <c r="G166" s="82">
        <f t="shared" ref="G166:Q166" si="72">SUM(G162:G165)</f>
        <v>33615.47</v>
      </c>
      <c r="H166" s="82">
        <f t="shared" si="72"/>
        <v>39905.659999999996</v>
      </c>
      <c r="I166" s="82">
        <f t="shared" si="72"/>
        <v>32704</v>
      </c>
      <c r="J166" s="82">
        <f t="shared" si="72"/>
        <v>28941.149999999994</v>
      </c>
      <c r="K166" s="82">
        <f t="shared" si="72"/>
        <v>32024</v>
      </c>
      <c r="L166" s="82">
        <f t="shared" si="72"/>
        <v>0</v>
      </c>
      <c r="M166" s="82">
        <f t="shared" si="72"/>
        <v>0</v>
      </c>
      <c r="N166" s="82">
        <f t="shared" si="72"/>
        <v>0</v>
      </c>
      <c r="O166" s="82">
        <f t="shared" si="72"/>
        <v>-61</v>
      </c>
      <c r="P166" s="82">
        <f t="shared" si="72"/>
        <v>31963</v>
      </c>
      <c r="Q166" s="82">
        <f t="shared" si="72"/>
        <v>4925.21</v>
      </c>
      <c r="R166" s="83">
        <f t="shared" si="67"/>
        <v>0.15409098019585146</v>
      </c>
      <c r="S166" s="82">
        <f>SUM(S162:S165)</f>
        <v>11435.3</v>
      </c>
      <c r="T166" s="83">
        <f t="shared" si="68"/>
        <v>0.35776679285423768</v>
      </c>
      <c r="U166" s="82">
        <f>SUM(U162:U165)</f>
        <v>15976.55</v>
      </c>
      <c r="V166" s="83">
        <f t="shared" si="69"/>
        <v>0.49984513343553483</v>
      </c>
      <c r="W166" s="82">
        <f>SUM(W162:W165)</f>
        <v>20799.849999999999</v>
      </c>
      <c r="X166" s="83">
        <f t="shared" si="70"/>
        <v>0.65074773957388221</v>
      </c>
      <c r="Y166" s="82">
        <f>SUM(Y162:Y165)</f>
        <v>32024</v>
      </c>
      <c r="Z166" s="82">
        <f>SUM(Z162:Z165)</f>
        <v>32024</v>
      </c>
    </row>
    <row r="167" spans="1:26" x14ac:dyDescent="0.25">
      <c r="A167" s="10">
        <v>2</v>
      </c>
      <c r="B167" s="10">
        <v>3</v>
      </c>
      <c r="D167" s="24"/>
      <c r="E167" s="25"/>
      <c r="F167" s="21" t="s">
        <v>31</v>
      </c>
      <c r="G167" s="22">
        <f t="shared" ref="G167:Q167" si="73">G161+G166</f>
        <v>37213.160000000003</v>
      </c>
      <c r="H167" s="22">
        <f t="shared" si="73"/>
        <v>41650.659999999996</v>
      </c>
      <c r="I167" s="22">
        <f t="shared" si="73"/>
        <v>32704</v>
      </c>
      <c r="J167" s="22">
        <f t="shared" si="73"/>
        <v>30003.149999999994</v>
      </c>
      <c r="K167" s="22">
        <f t="shared" si="73"/>
        <v>32744</v>
      </c>
      <c r="L167" s="22">
        <f t="shared" si="73"/>
        <v>0</v>
      </c>
      <c r="M167" s="22">
        <f t="shared" si="73"/>
        <v>0</v>
      </c>
      <c r="N167" s="22">
        <f t="shared" si="73"/>
        <v>0</v>
      </c>
      <c r="O167" s="22">
        <f t="shared" si="73"/>
        <v>0</v>
      </c>
      <c r="P167" s="22">
        <f t="shared" si="73"/>
        <v>32744</v>
      </c>
      <c r="Q167" s="22">
        <f t="shared" si="73"/>
        <v>4925.21</v>
      </c>
      <c r="R167" s="23">
        <f t="shared" si="67"/>
        <v>0.15041564866845836</v>
      </c>
      <c r="S167" s="22">
        <f>S161+S166</f>
        <v>11435.3</v>
      </c>
      <c r="T167" s="23">
        <f t="shared" si="68"/>
        <v>0.34923344734913264</v>
      </c>
      <c r="U167" s="22">
        <f>U161+U166</f>
        <v>15976.55</v>
      </c>
      <c r="V167" s="23">
        <f t="shared" si="69"/>
        <v>0.48792297825555825</v>
      </c>
      <c r="W167" s="22">
        <f>W161+W166</f>
        <v>21580.85</v>
      </c>
      <c r="X167" s="23">
        <f t="shared" si="70"/>
        <v>0.65907799902272168</v>
      </c>
      <c r="Y167" s="22">
        <f>Y161+Y166</f>
        <v>32744</v>
      </c>
      <c r="Z167" s="22">
        <f>Z161+Z166</f>
        <v>32744</v>
      </c>
    </row>
    <row r="169" spans="1:26" x14ac:dyDescent="0.25">
      <c r="D169" s="26" t="s">
        <v>161</v>
      </c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7"/>
      <c r="S169" s="26"/>
      <c r="T169" s="27"/>
      <c r="U169" s="26"/>
      <c r="V169" s="27"/>
      <c r="W169" s="26"/>
      <c r="X169" s="27"/>
      <c r="Y169" s="26"/>
      <c r="Z169" s="26"/>
    </row>
    <row r="170" spans="1:26" x14ac:dyDescent="0.25">
      <c r="D170" s="15"/>
      <c r="E170" s="15"/>
      <c r="F170" s="15"/>
      <c r="G170" s="16" t="s">
        <v>1</v>
      </c>
      <c r="H170" s="16" t="s">
        <v>2</v>
      </c>
      <c r="I170" s="16" t="s">
        <v>3</v>
      </c>
      <c r="J170" s="16" t="s">
        <v>4</v>
      </c>
      <c r="K170" s="16" t="s">
        <v>5</v>
      </c>
      <c r="L170" s="16" t="s">
        <v>6</v>
      </c>
      <c r="M170" s="16" t="s">
        <v>7</v>
      </c>
      <c r="N170" s="16" t="s">
        <v>8</v>
      </c>
      <c r="O170" s="16" t="s">
        <v>9</v>
      </c>
      <c r="P170" s="16" t="s">
        <v>10</v>
      </c>
      <c r="Q170" s="16" t="s">
        <v>11</v>
      </c>
      <c r="R170" s="17" t="s">
        <v>12</v>
      </c>
      <c r="S170" s="16" t="s">
        <v>13</v>
      </c>
      <c r="T170" s="17" t="s">
        <v>14</v>
      </c>
      <c r="U170" s="16" t="s">
        <v>15</v>
      </c>
      <c r="V170" s="17" t="s">
        <v>16</v>
      </c>
      <c r="W170" s="16" t="s">
        <v>17</v>
      </c>
      <c r="X170" s="17" t="s">
        <v>18</v>
      </c>
      <c r="Y170" s="16" t="s">
        <v>19</v>
      </c>
      <c r="Z170" s="16" t="s">
        <v>20</v>
      </c>
    </row>
    <row r="171" spans="1:26" x14ac:dyDescent="0.25">
      <c r="A171" s="10">
        <v>3</v>
      </c>
      <c r="D171" s="28" t="s">
        <v>21</v>
      </c>
      <c r="E171" s="29">
        <v>41</v>
      </c>
      <c r="F171" s="29" t="s">
        <v>23</v>
      </c>
      <c r="G171" s="30">
        <f t="shared" ref="G171:Q171" si="74">G180+G190</f>
        <v>31471.7</v>
      </c>
      <c r="H171" s="30">
        <f t="shared" si="74"/>
        <v>24885.670000000002</v>
      </c>
      <c r="I171" s="30">
        <f t="shared" si="74"/>
        <v>18180</v>
      </c>
      <c r="J171" s="30">
        <f t="shared" si="74"/>
        <v>33988.249999999993</v>
      </c>
      <c r="K171" s="30">
        <f t="shared" si="74"/>
        <v>38460</v>
      </c>
      <c r="L171" s="30">
        <f t="shared" si="74"/>
        <v>2000</v>
      </c>
      <c r="M171" s="30">
        <f t="shared" si="74"/>
        <v>0</v>
      </c>
      <c r="N171" s="30">
        <f t="shared" si="74"/>
        <v>13650</v>
      </c>
      <c r="O171" s="30">
        <f t="shared" si="74"/>
        <v>1639</v>
      </c>
      <c r="P171" s="30">
        <f t="shared" si="74"/>
        <v>55749</v>
      </c>
      <c r="Q171" s="30">
        <f t="shared" si="74"/>
        <v>7383.18</v>
      </c>
      <c r="R171" s="31">
        <f>Q171/$P171</f>
        <v>0.13243609750847549</v>
      </c>
      <c r="S171" s="30">
        <f>S180+S190</f>
        <v>27577.420000000002</v>
      </c>
      <c r="T171" s="31">
        <f>S171/$P171</f>
        <v>0.49467111517695389</v>
      </c>
      <c r="U171" s="30">
        <f>U180+U190</f>
        <v>40784.15</v>
      </c>
      <c r="V171" s="31">
        <f>U171/$P171</f>
        <v>0.73156738237457175</v>
      </c>
      <c r="W171" s="30">
        <f>W180+W190</f>
        <v>55462.080000000002</v>
      </c>
      <c r="X171" s="31">
        <f>W171/$P171</f>
        <v>0.99485336059839646</v>
      </c>
      <c r="Y171" s="30">
        <f>Y180+Y190</f>
        <v>37400</v>
      </c>
      <c r="Z171" s="30">
        <f>Z180+Z190</f>
        <v>37860</v>
      </c>
    </row>
    <row r="172" spans="1:26" x14ac:dyDescent="0.25">
      <c r="A172" s="10">
        <v>3</v>
      </c>
      <c r="D172" s="24"/>
      <c r="E172" s="25"/>
      <c r="F172" s="32" t="s">
        <v>31</v>
      </c>
      <c r="G172" s="33">
        <f t="shared" ref="G172:Q172" si="75">SUM(G171:G171)</f>
        <v>31471.7</v>
      </c>
      <c r="H172" s="33">
        <f t="shared" si="75"/>
        <v>24885.670000000002</v>
      </c>
      <c r="I172" s="33">
        <f t="shared" si="75"/>
        <v>18180</v>
      </c>
      <c r="J172" s="33">
        <f t="shared" si="75"/>
        <v>33988.249999999993</v>
      </c>
      <c r="K172" s="33">
        <f t="shared" si="75"/>
        <v>38460</v>
      </c>
      <c r="L172" s="33">
        <f t="shared" si="75"/>
        <v>2000</v>
      </c>
      <c r="M172" s="33">
        <f t="shared" si="75"/>
        <v>0</v>
      </c>
      <c r="N172" s="33">
        <f t="shared" si="75"/>
        <v>13650</v>
      </c>
      <c r="O172" s="33">
        <f t="shared" si="75"/>
        <v>1639</v>
      </c>
      <c r="P172" s="33">
        <f t="shared" si="75"/>
        <v>55749</v>
      </c>
      <c r="Q172" s="33">
        <f t="shared" si="75"/>
        <v>7383.18</v>
      </c>
      <c r="R172" s="34">
        <f>Q172/$P172</f>
        <v>0.13243609750847549</v>
      </c>
      <c r="S172" s="33">
        <f>SUM(S171:S171)</f>
        <v>27577.420000000002</v>
      </c>
      <c r="T172" s="34">
        <f>S172/$P172</f>
        <v>0.49467111517695389</v>
      </c>
      <c r="U172" s="33">
        <f>SUM(U171:U171)</f>
        <v>40784.15</v>
      </c>
      <c r="V172" s="34">
        <f>U172/$P172</f>
        <v>0.73156738237457175</v>
      </c>
      <c r="W172" s="33">
        <f>SUM(W171:W171)</f>
        <v>55462.080000000002</v>
      </c>
      <c r="X172" s="34">
        <f>W172/$P172</f>
        <v>0.99485336059839646</v>
      </c>
      <c r="Y172" s="33">
        <f>SUM(Y171:Y171)</f>
        <v>37400</v>
      </c>
      <c r="Z172" s="33">
        <f>SUM(Z171:Z171)</f>
        <v>37860</v>
      </c>
    </row>
    <row r="174" spans="1:26" x14ac:dyDescent="0.25">
      <c r="D174" s="65" t="s">
        <v>162</v>
      </c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5"/>
      <c r="T174" s="66"/>
      <c r="U174" s="65"/>
      <c r="V174" s="66"/>
      <c r="W174" s="65"/>
      <c r="X174" s="66"/>
      <c r="Y174" s="65"/>
      <c r="Z174" s="65"/>
    </row>
    <row r="175" spans="1:26" x14ac:dyDescent="0.25">
      <c r="D175" s="16" t="s">
        <v>33</v>
      </c>
      <c r="E175" s="16" t="s">
        <v>34</v>
      </c>
      <c r="F175" s="16" t="s">
        <v>35</v>
      </c>
      <c r="G175" s="16" t="s">
        <v>1</v>
      </c>
      <c r="H175" s="16" t="s">
        <v>2</v>
      </c>
      <c r="I175" s="16" t="s">
        <v>3</v>
      </c>
      <c r="J175" s="16" t="s">
        <v>4</v>
      </c>
      <c r="K175" s="16" t="s">
        <v>5</v>
      </c>
      <c r="L175" s="16" t="s">
        <v>6</v>
      </c>
      <c r="M175" s="16" t="s">
        <v>7</v>
      </c>
      <c r="N175" s="16" t="s">
        <v>8</v>
      </c>
      <c r="O175" s="16" t="s">
        <v>9</v>
      </c>
      <c r="P175" s="16" t="s">
        <v>10</v>
      </c>
      <c r="Q175" s="16" t="s">
        <v>11</v>
      </c>
      <c r="R175" s="17" t="s">
        <v>12</v>
      </c>
      <c r="S175" s="16" t="s">
        <v>13</v>
      </c>
      <c r="T175" s="17" t="s">
        <v>14</v>
      </c>
      <c r="U175" s="16" t="s">
        <v>15</v>
      </c>
      <c r="V175" s="17" t="s">
        <v>16</v>
      </c>
      <c r="W175" s="16" t="s">
        <v>17</v>
      </c>
      <c r="X175" s="17" t="s">
        <v>18</v>
      </c>
      <c r="Y175" s="16" t="s">
        <v>19</v>
      </c>
      <c r="Z175" s="16" t="s">
        <v>20</v>
      </c>
    </row>
    <row r="176" spans="1:26" x14ac:dyDescent="0.25">
      <c r="A176" s="10">
        <v>3</v>
      </c>
      <c r="B176" s="10">
        <v>1</v>
      </c>
      <c r="D176" s="7" t="s">
        <v>163</v>
      </c>
      <c r="E176" s="18">
        <v>610</v>
      </c>
      <c r="F176" s="18" t="s">
        <v>116</v>
      </c>
      <c r="G176" s="19">
        <v>6303.42</v>
      </c>
      <c r="H176" s="19">
        <v>8707.65</v>
      </c>
      <c r="I176" s="19">
        <v>4770</v>
      </c>
      <c r="J176" s="19">
        <v>5654.13</v>
      </c>
      <c r="K176" s="19">
        <v>9687</v>
      </c>
      <c r="L176" s="19"/>
      <c r="M176" s="19">
        <v>-1767</v>
      </c>
      <c r="N176" s="19">
        <v>2200</v>
      </c>
      <c r="O176" s="19">
        <v>24</v>
      </c>
      <c r="P176" s="19">
        <f>K176+SUM(L176:O176)</f>
        <v>10144</v>
      </c>
      <c r="Q176" s="19">
        <v>1419.93</v>
      </c>
      <c r="R176" s="20">
        <f>Q176/$P176</f>
        <v>0.13997732649842273</v>
      </c>
      <c r="S176" s="19">
        <v>5158.9799999999996</v>
      </c>
      <c r="T176" s="20">
        <f>S176/$P176</f>
        <v>0.50857452681388005</v>
      </c>
      <c r="U176" s="19">
        <v>7117.02</v>
      </c>
      <c r="V176" s="20">
        <f>U176/$P176</f>
        <v>0.70159897476340694</v>
      </c>
      <c r="W176" s="19">
        <v>10143.52</v>
      </c>
      <c r="X176" s="20">
        <f>W176/$P176</f>
        <v>0.99995268138801263</v>
      </c>
      <c r="Y176" s="19">
        <v>8877</v>
      </c>
      <c r="Z176" s="19">
        <v>9212</v>
      </c>
    </row>
    <row r="177" spans="1:26" x14ac:dyDescent="0.25">
      <c r="A177" s="10">
        <v>3</v>
      </c>
      <c r="B177" s="10">
        <v>1</v>
      </c>
      <c r="D177" s="7"/>
      <c r="E177" s="18">
        <v>620</v>
      </c>
      <c r="F177" s="18" t="s">
        <v>117</v>
      </c>
      <c r="G177" s="19">
        <v>2141.4</v>
      </c>
      <c r="H177" s="19">
        <v>2768.42</v>
      </c>
      <c r="I177" s="19">
        <v>1524</v>
      </c>
      <c r="J177" s="19">
        <v>1915.86</v>
      </c>
      <c r="K177" s="19">
        <v>3353</v>
      </c>
      <c r="L177" s="19"/>
      <c r="M177" s="19"/>
      <c r="N177" s="19">
        <v>770</v>
      </c>
      <c r="O177" s="19">
        <v>-430</v>
      </c>
      <c r="P177" s="19">
        <f>K177+SUM(L177:O177)</f>
        <v>3693</v>
      </c>
      <c r="Q177" s="19">
        <v>510.2</v>
      </c>
      <c r="R177" s="20">
        <f>Q177/$P177</f>
        <v>0.13815326292986732</v>
      </c>
      <c r="S177" s="19">
        <v>1879.61</v>
      </c>
      <c r="T177" s="20">
        <f>S177/$P177</f>
        <v>0.50896561061467638</v>
      </c>
      <c r="U177" s="19">
        <v>2634.98</v>
      </c>
      <c r="V177" s="20">
        <f>U177/$P177</f>
        <v>0.71350663417275928</v>
      </c>
      <c r="W177" s="19">
        <v>3692.66</v>
      </c>
      <c r="X177" s="20">
        <f>W177/$P177</f>
        <v>0.99990793392905497</v>
      </c>
      <c r="Y177" s="19">
        <v>3103</v>
      </c>
      <c r="Z177" s="19">
        <v>3220</v>
      </c>
    </row>
    <row r="178" spans="1:26" x14ac:dyDescent="0.25">
      <c r="A178" s="10">
        <v>3</v>
      </c>
      <c r="B178" s="10">
        <v>1</v>
      </c>
      <c r="D178" s="7"/>
      <c r="E178" s="18">
        <v>630</v>
      </c>
      <c r="F178" s="18" t="s">
        <v>118</v>
      </c>
      <c r="G178" s="19">
        <v>20389.82</v>
      </c>
      <c r="H178" s="19">
        <v>10459.08</v>
      </c>
      <c r="I178" s="19">
        <v>11886</v>
      </c>
      <c r="J178" s="19">
        <v>25980.46</v>
      </c>
      <c r="K178" s="19">
        <v>24920</v>
      </c>
      <c r="L178" s="19">
        <v>2000</v>
      </c>
      <c r="M178" s="19"/>
      <c r="N178" s="19">
        <f>680+10000</f>
        <v>10680</v>
      </c>
      <c r="O178" s="19">
        <v>2045</v>
      </c>
      <c r="P178" s="19">
        <f>K178+SUM(L178:O178)</f>
        <v>39645</v>
      </c>
      <c r="Q178" s="19">
        <v>5453.05</v>
      </c>
      <c r="R178" s="20">
        <f>Q178/$P178</f>
        <v>0.13754697944255265</v>
      </c>
      <c r="S178" s="19">
        <v>18771.830000000002</v>
      </c>
      <c r="T178" s="20">
        <f>S178/$P178</f>
        <v>0.47349804515071264</v>
      </c>
      <c r="U178" s="19">
        <v>29049.05</v>
      </c>
      <c r="V178" s="20">
        <f>U178/$P178</f>
        <v>0.73272922184386424</v>
      </c>
      <c r="W178" s="19">
        <v>39642.800000000003</v>
      </c>
      <c r="X178" s="20">
        <f>W178/$P178</f>
        <v>0.99994450750409891</v>
      </c>
      <c r="Y178" s="19">
        <v>24920</v>
      </c>
      <c r="Z178" s="19">
        <v>24928</v>
      </c>
    </row>
    <row r="179" spans="1:26" x14ac:dyDescent="0.25">
      <c r="A179" s="10">
        <v>3</v>
      </c>
      <c r="B179" s="10">
        <v>1</v>
      </c>
      <c r="D179" s="7"/>
      <c r="E179" s="18">
        <v>640</v>
      </c>
      <c r="F179" s="18" t="s">
        <v>119</v>
      </c>
      <c r="G179" s="19">
        <v>170.68</v>
      </c>
      <c r="H179" s="19">
        <v>0</v>
      </c>
      <c r="I179" s="19">
        <v>0</v>
      </c>
      <c r="J179" s="19">
        <v>221.7</v>
      </c>
      <c r="K179" s="19">
        <v>0</v>
      </c>
      <c r="L179" s="19"/>
      <c r="M179" s="19">
        <v>1767</v>
      </c>
      <c r="N179" s="19"/>
      <c r="O179" s="19"/>
      <c r="P179" s="19">
        <f>K179+SUM(L179:O179)</f>
        <v>1767</v>
      </c>
      <c r="Q179" s="19">
        <v>0</v>
      </c>
      <c r="R179" s="20">
        <f>Q179/$P179</f>
        <v>0</v>
      </c>
      <c r="S179" s="19">
        <v>1767</v>
      </c>
      <c r="T179" s="20">
        <f>S179/$P179</f>
        <v>1</v>
      </c>
      <c r="U179" s="19">
        <v>1767</v>
      </c>
      <c r="V179" s="20">
        <f>U179/$P179</f>
        <v>1</v>
      </c>
      <c r="W179" s="19">
        <v>1767</v>
      </c>
      <c r="X179" s="20">
        <f>W179/$P179</f>
        <v>1</v>
      </c>
      <c r="Y179" s="19">
        <v>0</v>
      </c>
      <c r="Z179" s="19">
        <v>0</v>
      </c>
    </row>
    <row r="180" spans="1:26" x14ac:dyDescent="0.25">
      <c r="A180" s="10">
        <v>3</v>
      </c>
      <c r="B180" s="10">
        <v>1</v>
      </c>
      <c r="D180" s="69" t="s">
        <v>97</v>
      </c>
      <c r="E180" s="21">
        <v>41</v>
      </c>
      <c r="F180" s="21" t="s">
        <v>56</v>
      </c>
      <c r="G180" s="22">
        <f t="shared" ref="G180:Q180" si="76">SUM(G176:G179)</f>
        <v>29005.32</v>
      </c>
      <c r="H180" s="22">
        <f t="shared" si="76"/>
        <v>21935.15</v>
      </c>
      <c r="I180" s="22">
        <f t="shared" si="76"/>
        <v>18180</v>
      </c>
      <c r="J180" s="22">
        <f t="shared" si="76"/>
        <v>33772.149999999994</v>
      </c>
      <c r="K180" s="22">
        <f t="shared" si="76"/>
        <v>37960</v>
      </c>
      <c r="L180" s="22">
        <f t="shared" si="76"/>
        <v>2000</v>
      </c>
      <c r="M180" s="22">
        <f t="shared" si="76"/>
        <v>0</v>
      </c>
      <c r="N180" s="22">
        <f t="shared" si="76"/>
        <v>13650</v>
      </c>
      <c r="O180" s="22">
        <f t="shared" si="76"/>
        <v>1639</v>
      </c>
      <c r="P180" s="22">
        <f t="shared" si="76"/>
        <v>55249</v>
      </c>
      <c r="Q180" s="22">
        <f t="shared" si="76"/>
        <v>7383.18</v>
      </c>
      <c r="R180" s="23">
        <f>Q180/$P180</f>
        <v>0.13363463592101216</v>
      </c>
      <c r="S180" s="22">
        <f>SUM(S176:S179)</f>
        <v>27577.420000000002</v>
      </c>
      <c r="T180" s="23">
        <f>S180/$P180</f>
        <v>0.49914785787978067</v>
      </c>
      <c r="U180" s="22">
        <f>SUM(U176:U179)</f>
        <v>40568.050000000003</v>
      </c>
      <c r="V180" s="23">
        <f>U180/$P180</f>
        <v>0.73427663849119451</v>
      </c>
      <c r="W180" s="22">
        <f>SUM(W176:W179)</f>
        <v>55245.98</v>
      </c>
      <c r="X180" s="23">
        <f>W180/$P180</f>
        <v>0.99994533837716526</v>
      </c>
      <c r="Y180" s="22">
        <f>SUM(Y176:Y179)</f>
        <v>36900</v>
      </c>
      <c r="Z180" s="22">
        <f>SUM(Z176:Z179)</f>
        <v>37360</v>
      </c>
    </row>
    <row r="182" spans="1:26" x14ac:dyDescent="0.25">
      <c r="E182" s="44" t="s">
        <v>57</v>
      </c>
      <c r="F182" s="24" t="s">
        <v>61</v>
      </c>
      <c r="G182" s="45">
        <v>6780.4</v>
      </c>
      <c r="H182" s="45">
        <v>2454.02</v>
      </c>
      <c r="I182" s="45">
        <v>2500</v>
      </c>
      <c r="J182" s="45">
        <v>8916.85</v>
      </c>
      <c r="K182" s="45">
        <v>9000</v>
      </c>
      <c r="L182" s="45">
        <v>-783</v>
      </c>
      <c r="M182" s="45">
        <v>-4140</v>
      </c>
      <c r="N182" s="45">
        <v>-630</v>
      </c>
      <c r="O182" s="92">
        <v>-2378</v>
      </c>
      <c r="P182" s="45">
        <f>K182+SUM(L182:O182)</f>
        <v>1069</v>
      </c>
      <c r="Q182" s="45">
        <v>611.94000000000005</v>
      </c>
      <c r="R182" s="46">
        <f>Q182/$P182</f>
        <v>0.57244153414405996</v>
      </c>
      <c r="S182" s="45">
        <v>793.7</v>
      </c>
      <c r="T182" s="46">
        <f>S182/$P182</f>
        <v>0.74246959775491117</v>
      </c>
      <c r="U182" s="45">
        <v>992.44</v>
      </c>
      <c r="V182" s="46">
        <f>U182/$P182</f>
        <v>0.92838166510757725</v>
      </c>
      <c r="W182" s="45">
        <v>1068.55</v>
      </c>
      <c r="X182" s="47">
        <f>W182/$P182</f>
        <v>0.99957904583723101</v>
      </c>
      <c r="Y182" s="45">
        <f>K182</f>
        <v>9000</v>
      </c>
      <c r="Z182" s="48">
        <f>Y182</f>
        <v>9000</v>
      </c>
    </row>
    <row r="183" spans="1:26" x14ac:dyDescent="0.25">
      <c r="E183" s="49"/>
      <c r="F183" s="50" t="s">
        <v>164</v>
      </c>
      <c r="G183" s="51">
        <v>1710</v>
      </c>
      <c r="H183" s="51">
        <v>206.87</v>
      </c>
      <c r="I183" s="51">
        <v>2000</v>
      </c>
      <c r="J183" s="51">
        <v>11900</v>
      </c>
      <c r="K183" s="51">
        <v>10000</v>
      </c>
      <c r="L183" s="51">
        <v>-3500</v>
      </c>
      <c r="M183" s="51">
        <v>3000</v>
      </c>
      <c r="N183" s="51">
        <v>10000</v>
      </c>
      <c r="O183" s="51">
        <f>2378+1077</f>
        <v>3455</v>
      </c>
      <c r="P183" s="51">
        <f>K183+SUM(L183:O183)</f>
        <v>22955</v>
      </c>
      <c r="Q183" s="51">
        <v>434.73</v>
      </c>
      <c r="R183" s="11">
        <f>Q183/$P183</f>
        <v>1.8938357656284033E-2</v>
      </c>
      <c r="S183" s="51">
        <v>9020.16</v>
      </c>
      <c r="T183" s="11">
        <f>S183/$P183</f>
        <v>0.39294968416467002</v>
      </c>
      <c r="U183" s="51">
        <v>16432.18</v>
      </c>
      <c r="V183" s="11">
        <f>U183/$P183</f>
        <v>0.7158431714223481</v>
      </c>
      <c r="W183" s="51">
        <v>22955.439999999999</v>
      </c>
      <c r="X183" s="52">
        <f>W183/$P183</f>
        <v>1.0000191679372685</v>
      </c>
      <c r="Y183" s="51">
        <f>K183</f>
        <v>10000</v>
      </c>
      <c r="Z183" s="53">
        <f>Y183</f>
        <v>10000</v>
      </c>
    </row>
    <row r="184" spans="1:26" x14ac:dyDescent="0.25">
      <c r="E184" s="49"/>
      <c r="F184" s="10" t="s">
        <v>165</v>
      </c>
      <c r="G184" s="51">
        <v>3277.2</v>
      </c>
      <c r="H184" s="51">
        <v>2201.9</v>
      </c>
      <c r="I184" s="51">
        <v>2200</v>
      </c>
      <c r="J184" s="51">
        <v>769.54</v>
      </c>
      <c r="K184" s="51">
        <v>1440</v>
      </c>
      <c r="L184" s="51"/>
      <c r="M184" s="51"/>
      <c r="N184" s="51"/>
      <c r="O184" s="51">
        <v>-130</v>
      </c>
      <c r="P184" s="51">
        <f>K184+SUM(L184:O184)</f>
        <v>1310</v>
      </c>
      <c r="Q184" s="51">
        <v>0</v>
      </c>
      <c r="R184" s="11">
        <f>Q184/$P184</f>
        <v>0</v>
      </c>
      <c r="S184" s="51">
        <v>461.57</v>
      </c>
      <c r="T184" s="11">
        <f>S184/$P184</f>
        <v>0.35234351145038167</v>
      </c>
      <c r="U184" s="51">
        <v>966.72</v>
      </c>
      <c r="V184" s="11">
        <f>U184/$P184</f>
        <v>0.73795419847328247</v>
      </c>
      <c r="W184" s="51">
        <v>1309.49</v>
      </c>
      <c r="X184" s="52">
        <f>W184/$P184</f>
        <v>0.99961068702290079</v>
      </c>
      <c r="Y184" s="51">
        <f>K184</f>
        <v>1440</v>
      </c>
      <c r="Z184" s="53">
        <f>Y184</f>
        <v>1440</v>
      </c>
    </row>
    <row r="185" spans="1:26" x14ac:dyDescent="0.25">
      <c r="E185" s="57"/>
      <c r="F185" s="70" t="s">
        <v>166</v>
      </c>
      <c r="G185" s="59">
        <v>1074.22</v>
      </c>
      <c r="H185" s="59">
        <v>1278.06</v>
      </c>
      <c r="I185" s="59">
        <v>1300</v>
      </c>
      <c r="J185" s="59">
        <v>1307.94</v>
      </c>
      <c r="K185" s="59">
        <v>1300</v>
      </c>
      <c r="L185" s="59"/>
      <c r="M185" s="59">
        <v>1140</v>
      </c>
      <c r="N185" s="59"/>
      <c r="O185" s="59"/>
      <c r="P185" s="59">
        <f>K185+SUM(L185:O185)</f>
        <v>2440</v>
      </c>
      <c r="Q185" s="59">
        <v>456</v>
      </c>
      <c r="R185" s="60">
        <f>Q185/$P185</f>
        <v>0.18688524590163935</v>
      </c>
      <c r="S185" s="59">
        <v>1527.93</v>
      </c>
      <c r="T185" s="60">
        <f>S185/$P185</f>
        <v>0.62620081967213115</v>
      </c>
      <c r="U185" s="59">
        <v>1983.93</v>
      </c>
      <c r="V185" s="60">
        <f>U185/$P185</f>
        <v>0.8130860655737705</v>
      </c>
      <c r="W185" s="59">
        <v>2439.0100000000002</v>
      </c>
      <c r="X185" s="61">
        <f>W185/$P185</f>
        <v>0.99959426229508208</v>
      </c>
      <c r="Y185" s="59">
        <f>K185</f>
        <v>1300</v>
      </c>
      <c r="Z185" s="62">
        <f>Y185</f>
        <v>1300</v>
      </c>
    </row>
    <row r="187" spans="1:26" x14ac:dyDescent="0.25">
      <c r="D187" s="65" t="s">
        <v>167</v>
      </c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6"/>
      <c r="S187" s="65"/>
      <c r="T187" s="66"/>
      <c r="U187" s="65"/>
      <c r="V187" s="66"/>
      <c r="W187" s="65"/>
      <c r="X187" s="66"/>
      <c r="Y187" s="65"/>
      <c r="Z187" s="65"/>
    </row>
    <row r="188" spans="1:26" x14ac:dyDescent="0.25">
      <c r="D188" s="16" t="s">
        <v>33</v>
      </c>
      <c r="E188" s="16" t="s">
        <v>34</v>
      </c>
      <c r="F188" s="16" t="s">
        <v>35</v>
      </c>
      <c r="G188" s="16" t="s">
        <v>1</v>
      </c>
      <c r="H188" s="16" t="s">
        <v>2</v>
      </c>
      <c r="I188" s="16" t="s">
        <v>3</v>
      </c>
      <c r="J188" s="16" t="s">
        <v>4</v>
      </c>
      <c r="K188" s="16" t="s">
        <v>5</v>
      </c>
      <c r="L188" s="16" t="s">
        <v>6</v>
      </c>
      <c r="M188" s="16" t="s">
        <v>7</v>
      </c>
      <c r="N188" s="16" t="s">
        <v>8</v>
      </c>
      <c r="O188" s="16" t="s">
        <v>9</v>
      </c>
      <c r="P188" s="16" t="s">
        <v>10</v>
      </c>
      <c r="Q188" s="16" t="s">
        <v>11</v>
      </c>
      <c r="R188" s="17" t="s">
        <v>12</v>
      </c>
      <c r="S188" s="16" t="s">
        <v>13</v>
      </c>
      <c r="T188" s="17" t="s">
        <v>14</v>
      </c>
      <c r="U188" s="16" t="s">
        <v>15</v>
      </c>
      <c r="V188" s="17" t="s">
        <v>16</v>
      </c>
      <c r="W188" s="16" t="s">
        <v>17</v>
      </c>
      <c r="X188" s="17" t="s">
        <v>18</v>
      </c>
      <c r="Y188" s="16" t="s">
        <v>19</v>
      </c>
      <c r="Z188" s="16" t="s">
        <v>20</v>
      </c>
    </row>
    <row r="189" spans="1:26" x14ac:dyDescent="0.25">
      <c r="A189" s="10">
        <v>3</v>
      </c>
      <c r="B189" s="10">
        <v>2</v>
      </c>
      <c r="D189" s="40" t="s">
        <v>163</v>
      </c>
      <c r="E189" s="18">
        <v>640</v>
      </c>
      <c r="F189" s="18" t="s">
        <v>119</v>
      </c>
      <c r="G189" s="19">
        <v>2466.38</v>
      </c>
      <c r="H189" s="19">
        <v>2950.52</v>
      </c>
      <c r="I189" s="19">
        <v>0</v>
      </c>
      <c r="J189" s="19">
        <v>216.1</v>
      </c>
      <c r="K189" s="19">
        <v>500</v>
      </c>
      <c r="L189" s="19"/>
      <c r="M189" s="19"/>
      <c r="N189" s="19"/>
      <c r="O189" s="19"/>
      <c r="P189" s="19">
        <f>K189+SUM(L189:O189)</f>
        <v>500</v>
      </c>
      <c r="Q189" s="19">
        <v>0</v>
      </c>
      <c r="R189" s="20">
        <f>Q189/$P189</f>
        <v>0</v>
      </c>
      <c r="S189" s="19">
        <v>0</v>
      </c>
      <c r="T189" s="20">
        <f>S189/$P189</f>
        <v>0</v>
      </c>
      <c r="U189" s="19">
        <v>216.1</v>
      </c>
      <c r="V189" s="20">
        <f>U189/$P189</f>
        <v>0.43219999999999997</v>
      </c>
      <c r="W189" s="19">
        <v>216.1</v>
      </c>
      <c r="X189" s="20">
        <f>W189/$P189</f>
        <v>0.43219999999999997</v>
      </c>
      <c r="Y189" s="19">
        <v>500</v>
      </c>
      <c r="Z189" s="19">
        <v>500</v>
      </c>
    </row>
    <row r="190" spans="1:26" x14ac:dyDescent="0.25">
      <c r="A190" s="10">
        <v>3</v>
      </c>
      <c r="B190" s="10">
        <v>2</v>
      </c>
      <c r="D190" s="69" t="s">
        <v>97</v>
      </c>
      <c r="E190" s="21">
        <v>41</v>
      </c>
      <c r="F190" s="21" t="s">
        <v>56</v>
      </c>
      <c r="G190" s="22">
        <f t="shared" ref="G190:Q190" si="77">SUM(G189:G189)</f>
        <v>2466.38</v>
      </c>
      <c r="H190" s="22">
        <f t="shared" si="77"/>
        <v>2950.52</v>
      </c>
      <c r="I190" s="22">
        <f t="shared" si="77"/>
        <v>0</v>
      </c>
      <c r="J190" s="22">
        <f t="shared" si="77"/>
        <v>216.1</v>
      </c>
      <c r="K190" s="22">
        <f t="shared" si="77"/>
        <v>500</v>
      </c>
      <c r="L190" s="22">
        <f t="shared" si="77"/>
        <v>0</v>
      </c>
      <c r="M190" s="22">
        <f t="shared" si="77"/>
        <v>0</v>
      </c>
      <c r="N190" s="22">
        <f t="shared" si="77"/>
        <v>0</v>
      </c>
      <c r="O190" s="22">
        <f t="shared" si="77"/>
        <v>0</v>
      </c>
      <c r="P190" s="22">
        <f t="shared" si="77"/>
        <v>500</v>
      </c>
      <c r="Q190" s="22">
        <f t="shared" si="77"/>
        <v>0</v>
      </c>
      <c r="R190" s="23">
        <f>Q190/$P190</f>
        <v>0</v>
      </c>
      <c r="S190" s="22">
        <f>SUM(S189:S189)</f>
        <v>0</v>
      </c>
      <c r="T190" s="23">
        <f>S190/$P190</f>
        <v>0</v>
      </c>
      <c r="U190" s="22">
        <f>SUM(U189:U189)</f>
        <v>216.1</v>
      </c>
      <c r="V190" s="23">
        <f>U190/$P190</f>
        <v>0.43219999999999997</v>
      </c>
      <c r="W190" s="22">
        <f>SUM(W189:W189)</f>
        <v>216.1</v>
      </c>
      <c r="X190" s="23">
        <f>W190/$P190</f>
        <v>0.43219999999999997</v>
      </c>
      <c r="Y190" s="22">
        <f>SUM(Y189:Y189)</f>
        <v>500</v>
      </c>
      <c r="Z190" s="22">
        <f>SUM(Z189:Z189)</f>
        <v>500</v>
      </c>
    </row>
    <row r="192" spans="1:26" x14ac:dyDescent="0.25">
      <c r="D192" s="26" t="s">
        <v>168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7"/>
      <c r="S192" s="26"/>
      <c r="T192" s="27"/>
      <c r="U192" s="26"/>
      <c r="V192" s="27"/>
      <c r="W192" s="26"/>
      <c r="X192" s="27"/>
      <c r="Y192" s="26"/>
      <c r="Z192" s="26"/>
    </row>
    <row r="193" spans="1:26" x14ac:dyDescent="0.25">
      <c r="D193" s="15"/>
      <c r="E193" s="15"/>
      <c r="F193" s="15"/>
      <c r="G193" s="16" t="s">
        <v>1</v>
      </c>
      <c r="H193" s="16" t="s">
        <v>2</v>
      </c>
      <c r="I193" s="16" t="s">
        <v>3</v>
      </c>
      <c r="J193" s="16" t="s">
        <v>4</v>
      </c>
      <c r="K193" s="16" t="s">
        <v>5</v>
      </c>
      <c r="L193" s="16" t="s">
        <v>6</v>
      </c>
      <c r="M193" s="16" t="s">
        <v>7</v>
      </c>
      <c r="N193" s="16" t="s">
        <v>8</v>
      </c>
      <c r="O193" s="16" t="s">
        <v>9</v>
      </c>
      <c r="P193" s="16" t="s">
        <v>10</v>
      </c>
      <c r="Q193" s="16" t="s">
        <v>11</v>
      </c>
      <c r="R193" s="17" t="s">
        <v>12</v>
      </c>
      <c r="S193" s="16" t="s">
        <v>13</v>
      </c>
      <c r="T193" s="17" t="s">
        <v>14</v>
      </c>
      <c r="U193" s="16" t="s">
        <v>15</v>
      </c>
      <c r="V193" s="17" t="s">
        <v>16</v>
      </c>
      <c r="W193" s="16" t="s">
        <v>17</v>
      </c>
      <c r="X193" s="17" t="s">
        <v>18</v>
      </c>
      <c r="Y193" s="16" t="s">
        <v>19</v>
      </c>
      <c r="Z193" s="16" t="s">
        <v>20</v>
      </c>
    </row>
    <row r="194" spans="1:26" x14ac:dyDescent="0.25">
      <c r="A194" s="10">
        <v>4</v>
      </c>
      <c r="D194" s="28" t="s">
        <v>21</v>
      </c>
      <c r="E194" s="29">
        <v>41</v>
      </c>
      <c r="F194" s="29" t="s">
        <v>23</v>
      </c>
      <c r="G194" s="30">
        <f t="shared" ref="G194:Q194" si="78">G200+G205+G213+G218</f>
        <v>29617.01</v>
      </c>
      <c r="H194" s="30">
        <f t="shared" si="78"/>
        <v>31936.899999999998</v>
      </c>
      <c r="I194" s="30">
        <f t="shared" si="78"/>
        <v>41656</v>
      </c>
      <c r="J194" s="30">
        <f t="shared" si="78"/>
        <v>52727.26</v>
      </c>
      <c r="K194" s="30">
        <f t="shared" si="78"/>
        <v>59000</v>
      </c>
      <c r="L194" s="30">
        <f t="shared" si="78"/>
        <v>0</v>
      </c>
      <c r="M194" s="30">
        <f t="shared" si="78"/>
        <v>0</v>
      </c>
      <c r="N194" s="30">
        <f t="shared" si="78"/>
        <v>2890</v>
      </c>
      <c r="O194" s="30">
        <f t="shared" si="78"/>
        <v>581</v>
      </c>
      <c r="P194" s="30">
        <f t="shared" si="78"/>
        <v>62471</v>
      </c>
      <c r="Q194" s="30">
        <f t="shared" si="78"/>
        <v>15780.949999999999</v>
      </c>
      <c r="R194" s="31">
        <f>Q194/$P194</f>
        <v>0.25261241215924185</v>
      </c>
      <c r="S194" s="30">
        <f>S200+S205+S213+S218</f>
        <v>33421.869999999995</v>
      </c>
      <c r="T194" s="31">
        <f>S194/$P194</f>
        <v>0.53499815914584359</v>
      </c>
      <c r="U194" s="30">
        <f>U200+U205+U213+U218</f>
        <v>48711.729999999996</v>
      </c>
      <c r="V194" s="31">
        <f>U194/$P194</f>
        <v>0.77974948376046482</v>
      </c>
      <c r="W194" s="30">
        <f>W200+W205+W213+W218</f>
        <v>61481.63</v>
      </c>
      <c r="X194" s="31">
        <f>W194/$P194</f>
        <v>0.9841627315074194</v>
      </c>
      <c r="Y194" s="30">
        <f>Y200+Y205+Y213+Y218</f>
        <v>52000</v>
      </c>
      <c r="Z194" s="30">
        <f>Z200+Z205+Z213+Z218</f>
        <v>52000</v>
      </c>
    </row>
    <row r="195" spans="1:26" x14ac:dyDescent="0.25">
      <c r="A195" s="10">
        <v>4</v>
      </c>
      <c r="D195" s="24"/>
      <c r="E195" s="25"/>
      <c r="F195" s="32" t="s">
        <v>31</v>
      </c>
      <c r="G195" s="33">
        <f t="shared" ref="G195:Q195" si="79">SUM(G194:G194)</f>
        <v>29617.01</v>
      </c>
      <c r="H195" s="33">
        <f t="shared" si="79"/>
        <v>31936.899999999998</v>
      </c>
      <c r="I195" s="33">
        <f t="shared" si="79"/>
        <v>41656</v>
      </c>
      <c r="J195" s="33">
        <f t="shared" si="79"/>
        <v>52727.26</v>
      </c>
      <c r="K195" s="33">
        <f t="shared" si="79"/>
        <v>59000</v>
      </c>
      <c r="L195" s="33">
        <f t="shared" si="79"/>
        <v>0</v>
      </c>
      <c r="M195" s="33">
        <f t="shared" si="79"/>
        <v>0</v>
      </c>
      <c r="N195" s="33">
        <f t="shared" si="79"/>
        <v>2890</v>
      </c>
      <c r="O195" s="33">
        <f t="shared" si="79"/>
        <v>581</v>
      </c>
      <c r="P195" s="33">
        <f t="shared" si="79"/>
        <v>62471</v>
      </c>
      <c r="Q195" s="33">
        <f t="shared" si="79"/>
        <v>15780.949999999999</v>
      </c>
      <c r="R195" s="34">
        <f>Q195/$P195</f>
        <v>0.25261241215924185</v>
      </c>
      <c r="S195" s="33">
        <f>SUM(S194:S194)</f>
        <v>33421.869999999995</v>
      </c>
      <c r="T195" s="34">
        <f>S195/$P195</f>
        <v>0.53499815914584359</v>
      </c>
      <c r="U195" s="33">
        <f>SUM(U194:U194)</f>
        <v>48711.729999999996</v>
      </c>
      <c r="V195" s="34">
        <f>U195/$P195</f>
        <v>0.77974948376046482</v>
      </c>
      <c r="W195" s="33">
        <f>SUM(W194:W194)</f>
        <v>61481.63</v>
      </c>
      <c r="X195" s="34">
        <f>W195/$P195</f>
        <v>0.9841627315074194</v>
      </c>
      <c r="Y195" s="33">
        <f>SUM(Y194:Y194)</f>
        <v>52000</v>
      </c>
      <c r="Z195" s="33">
        <f>SUM(Z194:Z194)</f>
        <v>52000</v>
      </c>
    </row>
    <row r="197" spans="1:26" x14ac:dyDescent="0.25">
      <c r="D197" s="65" t="s">
        <v>169</v>
      </c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6"/>
      <c r="S197" s="65"/>
      <c r="T197" s="66"/>
      <c r="U197" s="65"/>
      <c r="V197" s="66"/>
      <c r="W197" s="65"/>
      <c r="X197" s="66"/>
      <c r="Y197" s="65"/>
      <c r="Z197" s="65"/>
    </row>
    <row r="198" spans="1:26" x14ac:dyDescent="0.25">
      <c r="D198" s="16" t="s">
        <v>33</v>
      </c>
      <c r="E198" s="16" t="s">
        <v>34</v>
      </c>
      <c r="F198" s="16" t="s">
        <v>35</v>
      </c>
      <c r="G198" s="16" t="s">
        <v>1</v>
      </c>
      <c r="H198" s="16" t="s">
        <v>2</v>
      </c>
      <c r="I198" s="16" t="s">
        <v>3</v>
      </c>
      <c r="J198" s="16" t="s">
        <v>4</v>
      </c>
      <c r="K198" s="16" t="s">
        <v>5</v>
      </c>
      <c r="L198" s="16" t="s">
        <v>6</v>
      </c>
      <c r="M198" s="16" t="s">
        <v>7</v>
      </c>
      <c r="N198" s="16" t="s">
        <v>8</v>
      </c>
      <c r="O198" s="16" t="s">
        <v>9</v>
      </c>
      <c r="P198" s="16" t="s">
        <v>10</v>
      </c>
      <c r="Q198" s="16" t="s">
        <v>11</v>
      </c>
      <c r="R198" s="17" t="s">
        <v>12</v>
      </c>
      <c r="S198" s="16" t="s">
        <v>13</v>
      </c>
      <c r="T198" s="17" t="s">
        <v>14</v>
      </c>
      <c r="U198" s="16" t="s">
        <v>15</v>
      </c>
      <c r="V198" s="17" t="s">
        <v>16</v>
      </c>
      <c r="W198" s="16" t="s">
        <v>17</v>
      </c>
      <c r="X198" s="17" t="s">
        <v>18</v>
      </c>
      <c r="Y198" s="16" t="s">
        <v>19</v>
      </c>
      <c r="Z198" s="16" t="s">
        <v>20</v>
      </c>
    </row>
    <row r="199" spans="1:26" x14ac:dyDescent="0.25">
      <c r="A199" s="10">
        <v>4</v>
      </c>
      <c r="B199" s="10">
        <v>1</v>
      </c>
      <c r="D199" s="40" t="s">
        <v>170</v>
      </c>
      <c r="E199" s="18">
        <v>630</v>
      </c>
      <c r="F199" s="18" t="s">
        <v>118</v>
      </c>
      <c r="G199" s="19">
        <v>26071.41</v>
      </c>
      <c r="H199" s="19">
        <v>27256.16</v>
      </c>
      <c r="I199" s="19">
        <v>34606</v>
      </c>
      <c r="J199" s="19">
        <v>42161.55</v>
      </c>
      <c r="K199" s="19">
        <v>42000</v>
      </c>
      <c r="L199" s="19"/>
      <c r="M199" s="19"/>
      <c r="N199" s="19">
        <v>2890</v>
      </c>
      <c r="O199" s="19">
        <v>12340</v>
      </c>
      <c r="P199" s="19">
        <f>K199+SUM(L199:O199)</f>
        <v>57230</v>
      </c>
      <c r="Q199" s="19">
        <v>13764.4</v>
      </c>
      <c r="R199" s="20">
        <f>Q199/$P199</f>
        <v>0.24051022191158483</v>
      </c>
      <c r="S199" s="19">
        <v>28880.92</v>
      </c>
      <c r="T199" s="20">
        <f>S199/$P199</f>
        <v>0.50464651406604921</v>
      </c>
      <c r="U199" s="19">
        <v>43470.84</v>
      </c>
      <c r="V199" s="20">
        <f>U199/$P199</f>
        <v>0.75958133845885023</v>
      </c>
      <c r="W199" s="19">
        <v>56240.74</v>
      </c>
      <c r="X199" s="20">
        <f>W199/$P199</f>
        <v>0.98271431067621873</v>
      </c>
      <c r="Y199" s="19">
        <f>K199</f>
        <v>42000</v>
      </c>
      <c r="Z199" s="19">
        <f>Y199</f>
        <v>42000</v>
      </c>
    </row>
    <row r="200" spans="1:26" x14ac:dyDescent="0.25">
      <c r="A200" s="10">
        <v>4</v>
      </c>
      <c r="B200" s="10">
        <v>1</v>
      </c>
      <c r="D200" s="69" t="s">
        <v>97</v>
      </c>
      <c r="E200" s="21">
        <v>41</v>
      </c>
      <c r="F200" s="21" t="s">
        <v>56</v>
      </c>
      <c r="G200" s="22">
        <f t="shared" ref="G200:Q200" si="80">SUM(G199:G199)</f>
        <v>26071.41</v>
      </c>
      <c r="H200" s="22">
        <f t="shared" si="80"/>
        <v>27256.16</v>
      </c>
      <c r="I200" s="22">
        <f t="shared" si="80"/>
        <v>34606</v>
      </c>
      <c r="J200" s="22">
        <f t="shared" si="80"/>
        <v>42161.55</v>
      </c>
      <c r="K200" s="22">
        <f t="shared" si="80"/>
        <v>42000</v>
      </c>
      <c r="L200" s="22">
        <f t="shared" si="80"/>
        <v>0</v>
      </c>
      <c r="M200" s="22">
        <f t="shared" si="80"/>
        <v>0</v>
      </c>
      <c r="N200" s="22">
        <f t="shared" si="80"/>
        <v>2890</v>
      </c>
      <c r="O200" s="22">
        <f t="shared" si="80"/>
        <v>12340</v>
      </c>
      <c r="P200" s="22">
        <f t="shared" si="80"/>
        <v>57230</v>
      </c>
      <c r="Q200" s="22">
        <f t="shared" si="80"/>
        <v>13764.4</v>
      </c>
      <c r="R200" s="23">
        <f>Q200/$P200</f>
        <v>0.24051022191158483</v>
      </c>
      <c r="S200" s="22">
        <f>SUM(S199:S199)</f>
        <v>28880.92</v>
      </c>
      <c r="T200" s="23">
        <f>S200/$P200</f>
        <v>0.50464651406604921</v>
      </c>
      <c r="U200" s="22">
        <f>SUM(U199:U199)</f>
        <v>43470.84</v>
      </c>
      <c r="V200" s="23">
        <f>U200/$P200</f>
        <v>0.75958133845885023</v>
      </c>
      <c r="W200" s="22">
        <f>SUM(W199:W199)</f>
        <v>56240.74</v>
      </c>
      <c r="X200" s="23">
        <f>W200/$P200</f>
        <v>0.98271431067621873</v>
      </c>
      <c r="Y200" s="22">
        <f>SUM(Y199:Y199)</f>
        <v>42000</v>
      </c>
      <c r="Z200" s="22">
        <f>SUM(Z199:Z199)</f>
        <v>42000</v>
      </c>
    </row>
    <row r="202" spans="1:26" x14ac:dyDescent="0.25">
      <c r="D202" s="65" t="s">
        <v>171</v>
      </c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6"/>
      <c r="S202" s="65"/>
      <c r="T202" s="66"/>
      <c r="U202" s="65"/>
      <c r="V202" s="66"/>
      <c r="W202" s="65"/>
      <c r="X202" s="66"/>
      <c r="Y202" s="65"/>
      <c r="Z202" s="65"/>
    </row>
    <row r="203" spans="1:26" x14ac:dyDescent="0.25">
      <c r="D203" s="16" t="s">
        <v>33</v>
      </c>
      <c r="E203" s="16" t="s">
        <v>34</v>
      </c>
      <c r="F203" s="16" t="s">
        <v>35</v>
      </c>
      <c r="G203" s="16" t="s">
        <v>1</v>
      </c>
      <c r="H203" s="16" t="s">
        <v>2</v>
      </c>
      <c r="I203" s="16" t="s">
        <v>3</v>
      </c>
      <c r="J203" s="16" t="s">
        <v>4</v>
      </c>
      <c r="K203" s="16" t="s">
        <v>5</v>
      </c>
      <c r="L203" s="16" t="s">
        <v>6</v>
      </c>
      <c r="M203" s="16" t="s">
        <v>7</v>
      </c>
      <c r="N203" s="16" t="s">
        <v>8</v>
      </c>
      <c r="O203" s="16" t="s">
        <v>9</v>
      </c>
      <c r="P203" s="16" t="s">
        <v>10</v>
      </c>
      <c r="Q203" s="16" t="s">
        <v>11</v>
      </c>
      <c r="R203" s="17" t="s">
        <v>12</v>
      </c>
      <c r="S203" s="16" t="s">
        <v>13</v>
      </c>
      <c r="T203" s="17" t="s">
        <v>14</v>
      </c>
      <c r="U203" s="16" t="s">
        <v>15</v>
      </c>
      <c r="V203" s="17" t="s">
        <v>16</v>
      </c>
      <c r="W203" s="16" t="s">
        <v>17</v>
      </c>
      <c r="X203" s="17" t="s">
        <v>18</v>
      </c>
      <c r="Y203" s="16" t="s">
        <v>19</v>
      </c>
      <c r="Z203" s="16" t="s">
        <v>20</v>
      </c>
    </row>
    <row r="204" spans="1:26" x14ac:dyDescent="0.25">
      <c r="A204" s="10">
        <v>4</v>
      </c>
      <c r="B204" s="10">
        <v>2</v>
      </c>
      <c r="D204" s="40" t="s">
        <v>170</v>
      </c>
      <c r="E204" s="18">
        <v>630</v>
      </c>
      <c r="F204" s="18" t="s">
        <v>118</v>
      </c>
      <c r="G204" s="19">
        <v>3545.6</v>
      </c>
      <c r="H204" s="19">
        <v>4057.76</v>
      </c>
      <c r="I204" s="19">
        <v>4050</v>
      </c>
      <c r="J204" s="19">
        <v>7965.71</v>
      </c>
      <c r="K204" s="19">
        <v>15000</v>
      </c>
      <c r="L204" s="19"/>
      <c r="M204" s="19"/>
      <c r="N204" s="19"/>
      <c r="O204" s="19">
        <v>-9759</v>
      </c>
      <c r="P204" s="19">
        <f>K204+SUM(L204:O204)</f>
        <v>5241</v>
      </c>
      <c r="Q204" s="19">
        <v>2016.55</v>
      </c>
      <c r="R204" s="20">
        <f>Q204/$P204</f>
        <v>0.38476435794695668</v>
      </c>
      <c r="S204" s="19">
        <v>4540.95</v>
      </c>
      <c r="T204" s="20">
        <f>S204/$P204</f>
        <v>0.86642816256439603</v>
      </c>
      <c r="U204" s="19">
        <v>5240.8900000000003</v>
      </c>
      <c r="V204" s="20">
        <f>U204/$P204</f>
        <v>0.99997901163900027</v>
      </c>
      <c r="W204" s="19">
        <v>5240.8900000000003</v>
      </c>
      <c r="X204" s="20">
        <f>W204/$P204</f>
        <v>0.99997901163900027</v>
      </c>
      <c r="Y204" s="19">
        <v>8000</v>
      </c>
      <c r="Z204" s="19">
        <f>Y204</f>
        <v>8000</v>
      </c>
    </row>
    <row r="205" spans="1:26" x14ac:dyDescent="0.25">
      <c r="A205" s="10">
        <v>4</v>
      </c>
      <c r="B205" s="10">
        <v>2</v>
      </c>
      <c r="D205" s="69" t="s">
        <v>97</v>
      </c>
      <c r="E205" s="21">
        <v>41</v>
      </c>
      <c r="F205" s="21" t="s">
        <v>56</v>
      </c>
      <c r="G205" s="22">
        <f t="shared" ref="G205:Q205" si="81">SUM(G204:G204)</f>
        <v>3545.6</v>
      </c>
      <c r="H205" s="22">
        <f t="shared" si="81"/>
        <v>4057.76</v>
      </c>
      <c r="I205" s="22">
        <f t="shared" si="81"/>
        <v>4050</v>
      </c>
      <c r="J205" s="22">
        <f t="shared" si="81"/>
        <v>7965.71</v>
      </c>
      <c r="K205" s="22">
        <f t="shared" si="81"/>
        <v>15000</v>
      </c>
      <c r="L205" s="22">
        <f t="shared" si="81"/>
        <v>0</v>
      </c>
      <c r="M205" s="22">
        <f t="shared" si="81"/>
        <v>0</v>
      </c>
      <c r="N205" s="22">
        <f t="shared" si="81"/>
        <v>0</v>
      </c>
      <c r="O205" s="22">
        <f t="shared" si="81"/>
        <v>-9759</v>
      </c>
      <c r="P205" s="22">
        <f t="shared" si="81"/>
        <v>5241</v>
      </c>
      <c r="Q205" s="22">
        <f t="shared" si="81"/>
        <v>2016.55</v>
      </c>
      <c r="R205" s="23">
        <f>Q205/$P205</f>
        <v>0.38476435794695668</v>
      </c>
      <c r="S205" s="22">
        <f>SUM(S204:S204)</f>
        <v>4540.95</v>
      </c>
      <c r="T205" s="23">
        <f>S205/$P205</f>
        <v>0.86642816256439603</v>
      </c>
      <c r="U205" s="22">
        <f>SUM(U204:U204)</f>
        <v>5240.8900000000003</v>
      </c>
      <c r="V205" s="23">
        <f>U205/$P205</f>
        <v>0.99997901163900027</v>
      </c>
      <c r="W205" s="22">
        <f>SUM(W204:W204)</f>
        <v>5240.8900000000003</v>
      </c>
      <c r="X205" s="23">
        <f>W205/$P205</f>
        <v>0.99997901163900027</v>
      </c>
      <c r="Y205" s="22">
        <f>SUM(Y204:Y204)</f>
        <v>8000</v>
      </c>
      <c r="Z205" s="22">
        <f>SUM(Z204:Z204)</f>
        <v>8000</v>
      </c>
    </row>
    <row r="207" spans="1:26" x14ac:dyDescent="0.25">
      <c r="E207" s="44" t="s">
        <v>57</v>
      </c>
      <c r="F207" s="24" t="s">
        <v>172</v>
      </c>
      <c r="G207" s="45"/>
      <c r="H207" s="45"/>
      <c r="I207" s="45"/>
      <c r="J207" s="45"/>
      <c r="K207" s="45">
        <v>7000</v>
      </c>
      <c r="L207" s="45"/>
      <c r="M207" s="45"/>
      <c r="N207" s="45"/>
      <c r="O207" s="45">
        <v>-7000</v>
      </c>
      <c r="P207" s="45">
        <f>K207+SUM(L207:O207)</f>
        <v>0</v>
      </c>
      <c r="Q207" s="45">
        <v>0</v>
      </c>
      <c r="R207" s="46" t="e">
        <f>Q207/$P207</f>
        <v>#DIV/0!</v>
      </c>
      <c r="S207" s="45">
        <v>0</v>
      </c>
      <c r="T207" s="46" t="e">
        <f>S207/$P207</f>
        <v>#DIV/0!</v>
      </c>
      <c r="U207" s="45">
        <v>0</v>
      </c>
      <c r="V207" s="46" t="e">
        <f>U207/$P207</f>
        <v>#DIV/0!</v>
      </c>
      <c r="W207" s="45">
        <v>0</v>
      </c>
      <c r="X207" s="47" t="e">
        <f>W207/$P207</f>
        <v>#DIV/0!</v>
      </c>
      <c r="Y207" s="45">
        <v>0</v>
      </c>
      <c r="Z207" s="48">
        <f>Y207</f>
        <v>0</v>
      </c>
    </row>
    <row r="208" spans="1:26" x14ac:dyDescent="0.25">
      <c r="E208" s="57"/>
      <c r="F208" s="70" t="s">
        <v>173</v>
      </c>
      <c r="G208" s="59">
        <v>2552</v>
      </c>
      <c r="H208" s="59">
        <v>2815.76</v>
      </c>
      <c r="I208" s="59">
        <v>2800</v>
      </c>
      <c r="J208" s="59">
        <v>4480.53</v>
      </c>
      <c r="K208" s="59">
        <v>6000</v>
      </c>
      <c r="L208" s="59"/>
      <c r="M208" s="59"/>
      <c r="N208" s="59"/>
      <c r="O208" s="59">
        <v>-759</v>
      </c>
      <c r="P208" s="59">
        <f>K208+SUM(L208:O208)</f>
        <v>5241</v>
      </c>
      <c r="Q208" s="59">
        <v>2016.55</v>
      </c>
      <c r="R208" s="60">
        <f>Q208/$P208</f>
        <v>0.38476435794695668</v>
      </c>
      <c r="S208" s="59">
        <v>4540.95</v>
      </c>
      <c r="T208" s="60">
        <f>S208/$P208</f>
        <v>0.86642816256439603</v>
      </c>
      <c r="U208" s="59">
        <v>5240.8900000000003</v>
      </c>
      <c r="V208" s="60">
        <f>U208/$P208</f>
        <v>0.99997901163900027</v>
      </c>
      <c r="W208" s="59">
        <v>5240.8900000000003</v>
      </c>
      <c r="X208" s="61">
        <f>W208/$P208</f>
        <v>0.99997901163900027</v>
      </c>
      <c r="Y208" s="59">
        <f>K208</f>
        <v>6000</v>
      </c>
      <c r="Z208" s="62">
        <f>Y208</f>
        <v>6000</v>
      </c>
    </row>
    <row r="210" spans="1:26" x14ac:dyDescent="0.25">
      <c r="D210" s="65" t="s">
        <v>174</v>
      </c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6"/>
      <c r="S210" s="65"/>
      <c r="T210" s="66"/>
      <c r="U210" s="65"/>
      <c r="V210" s="66"/>
      <c r="W210" s="65"/>
      <c r="X210" s="66"/>
      <c r="Y210" s="65"/>
      <c r="Z210" s="65"/>
    </row>
    <row r="211" spans="1:26" x14ac:dyDescent="0.25">
      <c r="D211" s="16" t="s">
        <v>33</v>
      </c>
      <c r="E211" s="16" t="s">
        <v>34</v>
      </c>
      <c r="F211" s="16" t="s">
        <v>35</v>
      </c>
      <c r="G211" s="16" t="s">
        <v>1</v>
      </c>
      <c r="H211" s="16" t="s">
        <v>2</v>
      </c>
      <c r="I211" s="16" t="s">
        <v>3</v>
      </c>
      <c r="J211" s="16" t="s">
        <v>4</v>
      </c>
      <c r="K211" s="16" t="s">
        <v>5</v>
      </c>
      <c r="L211" s="16" t="s">
        <v>6</v>
      </c>
      <c r="M211" s="16" t="s">
        <v>7</v>
      </c>
      <c r="N211" s="16" t="s">
        <v>8</v>
      </c>
      <c r="O211" s="16" t="s">
        <v>9</v>
      </c>
      <c r="P211" s="16" t="s">
        <v>10</v>
      </c>
      <c r="Q211" s="16" t="s">
        <v>11</v>
      </c>
      <c r="R211" s="17" t="s">
        <v>12</v>
      </c>
      <c r="S211" s="16" t="s">
        <v>13</v>
      </c>
      <c r="T211" s="17" t="s">
        <v>14</v>
      </c>
      <c r="U211" s="16" t="s">
        <v>15</v>
      </c>
      <c r="V211" s="17" t="s">
        <v>16</v>
      </c>
      <c r="W211" s="16" t="s">
        <v>17</v>
      </c>
      <c r="X211" s="17" t="s">
        <v>18</v>
      </c>
      <c r="Y211" s="16" t="s">
        <v>19</v>
      </c>
      <c r="Z211" s="16" t="s">
        <v>20</v>
      </c>
    </row>
    <row r="212" spans="1:26" x14ac:dyDescent="0.25">
      <c r="A212" s="10">
        <v>4</v>
      </c>
      <c r="B212" s="10">
        <v>3</v>
      </c>
      <c r="D212" s="40" t="s">
        <v>170</v>
      </c>
      <c r="E212" s="18">
        <v>630</v>
      </c>
      <c r="F212" s="18" t="s">
        <v>118</v>
      </c>
      <c r="G212" s="19">
        <v>0</v>
      </c>
      <c r="H212" s="19">
        <v>0</v>
      </c>
      <c r="I212" s="19">
        <v>0</v>
      </c>
      <c r="J212" s="19">
        <v>0</v>
      </c>
      <c r="K212" s="19">
        <v>1000</v>
      </c>
      <c r="L212" s="19"/>
      <c r="M212" s="19"/>
      <c r="N212" s="19"/>
      <c r="O212" s="19">
        <v>-1000</v>
      </c>
      <c r="P212" s="19">
        <f>K212+SUM(L212:O212)</f>
        <v>0</v>
      </c>
      <c r="Q212" s="19">
        <v>0</v>
      </c>
      <c r="R212" s="20" t="e">
        <f>Q212/$P212</f>
        <v>#DIV/0!</v>
      </c>
      <c r="S212" s="19">
        <v>0</v>
      </c>
      <c r="T212" s="20" t="e">
        <f>S212/$P212</f>
        <v>#DIV/0!</v>
      </c>
      <c r="U212" s="19">
        <v>0</v>
      </c>
      <c r="V212" s="20" t="e">
        <f>U212/$P212</f>
        <v>#DIV/0!</v>
      </c>
      <c r="W212" s="19">
        <v>0</v>
      </c>
      <c r="X212" s="20" t="e">
        <f>W212/$P212</f>
        <v>#DIV/0!</v>
      </c>
      <c r="Y212" s="19">
        <v>1000</v>
      </c>
      <c r="Z212" s="19">
        <v>1000</v>
      </c>
    </row>
    <row r="213" spans="1:26" x14ac:dyDescent="0.25">
      <c r="A213" s="10">
        <v>4</v>
      </c>
      <c r="B213" s="10">
        <v>3</v>
      </c>
      <c r="D213" s="69" t="s">
        <v>97</v>
      </c>
      <c r="E213" s="21">
        <v>41</v>
      </c>
      <c r="F213" s="21" t="s">
        <v>56</v>
      </c>
      <c r="G213" s="22">
        <f t="shared" ref="G213:Q213" si="82">SUM(G212:G212)</f>
        <v>0</v>
      </c>
      <c r="H213" s="90">
        <f t="shared" si="82"/>
        <v>0</v>
      </c>
      <c r="I213" s="22">
        <f t="shared" si="82"/>
        <v>0</v>
      </c>
      <c r="J213" s="22">
        <f t="shared" si="82"/>
        <v>0</v>
      </c>
      <c r="K213" s="22">
        <f t="shared" si="82"/>
        <v>1000</v>
      </c>
      <c r="L213" s="22">
        <f t="shared" si="82"/>
        <v>0</v>
      </c>
      <c r="M213" s="22">
        <f t="shared" si="82"/>
        <v>0</v>
      </c>
      <c r="N213" s="22">
        <f t="shared" si="82"/>
        <v>0</v>
      </c>
      <c r="O213" s="22">
        <f t="shared" si="82"/>
        <v>-1000</v>
      </c>
      <c r="P213" s="22">
        <f t="shared" si="82"/>
        <v>0</v>
      </c>
      <c r="Q213" s="22">
        <f t="shared" si="82"/>
        <v>0</v>
      </c>
      <c r="R213" s="23" t="e">
        <f>Q213/$P213</f>
        <v>#DIV/0!</v>
      </c>
      <c r="S213" s="22">
        <f>SUM(S212:S212)</f>
        <v>0</v>
      </c>
      <c r="T213" s="23" t="e">
        <f>S213/$P213</f>
        <v>#DIV/0!</v>
      </c>
      <c r="U213" s="22">
        <f>SUM(U212:U212)</f>
        <v>0</v>
      </c>
      <c r="V213" s="23" t="e">
        <f>U213/$P213</f>
        <v>#DIV/0!</v>
      </c>
      <c r="W213" s="22">
        <f>SUM(W212:W212)</f>
        <v>0</v>
      </c>
      <c r="X213" s="23" t="e">
        <f>W213/$P213</f>
        <v>#DIV/0!</v>
      </c>
      <c r="Y213" s="22">
        <f>SUM(Y212:Y212)</f>
        <v>1000</v>
      </c>
      <c r="Z213" s="22">
        <f>SUM(Z212:Z212)</f>
        <v>1000</v>
      </c>
    </row>
    <row r="215" spans="1:26" x14ac:dyDescent="0.25">
      <c r="D215" s="65" t="s">
        <v>175</v>
      </c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6"/>
      <c r="S215" s="65"/>
      <c r="T215" s="66"/>
      <c r="U215" s="65"/>
      <c r="V215" s="66"/>
      <c r="W215" s="65"/>
      <c r="X215" s="66"/>
      <c r="Y215" s="65"/>
      <c r="Z215" s="65"/>
    </row>
    <row r="216" spans="1:26" x14ac:dyDescent="0.25">
      <c r="D216" s="16" t="s">
        <v>33</v>
      </c>
      <c r="E216" s="16" t="s">
        <v>34</v>
      </c>
      <c r="F216" s="16" t="s">
        <v>35</v>
      </c>
      <c r="G216" s="16" t="s">
        <v>1</v>
      </c>
      <c r="H216" s="16" t="s">
        <v>2</v>
      </c>
      <c r="I216" s="16" t="s">
        <v>3</v>
      </c>
      <c r="J216" s="16" t="s">
        <v>4</v>
      </c>
      <c r="K216" s="16" t="s">
        <v>5</v>
      </c>
      <c r="L216" s="16" t="s">
        <v>6</v>
      </c>
      <c r="M216" s="16" t="s">
        <v>7</v>
      </c>
      <c r="N216" s="16" t="s">
        <v>8</v>
      </c>
      <c r="O216" s="16" t="s">
        <v>9</v>
      </c>
      <c r="P216" s="16" t="s">
        <v>10</v>
      </c>
      <c r="Q216" s="16" t="s">
        <v>11</v>
      </c>
      <c r="R216" s="17" t="s">
        <v>12</v>
      </c>
      <c r="S216" s="16" t="s">
        <v>13</v>
      </c>
      <c r="T216" s="17" t="s">
        <v>14</v>
      </c>
      <c r="U216" s="16" t="s">
        <v>15</v>
      </c>
      <c r="V216" s="17" t="s">
        <v>16</v>
      </c>
      <c r="W216" s="16" t="s">
        <v>17</v>
      </c>
      <c r="X216" s="17" t="s">
        <v>18</v>
      </c>
      <c r="Y216" s="16" t="s">
        <v>19</v>
      </c>
      <c r="Z216" s="16" t="s">
        <v>20</v>
      </c>
    </row>
    <row r="217" spans="1:26" x14ac:dyDescent="0.25">
      <c r="A217" s="10">
        <v>4</v>
      </c>
      <c r="B217" s="10">
        <v>4</v>
      </c>
      <c r="D217" s="40" t="s">
        <v>170</v>
      </c>
      <c r="E217" s="18">
        <v>630</v>
      </c>
      <c r="F217" s="18" t="s">
        <v>118</v>
      </c>
      <c r="G217" s="19">
        <v>0</v>
      </c>
      <c r="H217" s="19">
        <v>622.98</v>
      </c>
      <c r="I217" s="19">
        <v>3000</v>
      </c>
      <c r="J217" s="19">
        <v>2600</v>
      </c>
      <c r="K217" s="19">
        <v>1000</v>
      </c>
      <c r="L217" s="19"/>
      <c r="M217" s="19"/>
      <c r="N217" s="19"/>
      <c r="O217" s="19">
        <v>-1000</v>
      </c>
      <c r="P217" s="19">
        <f>K217+SUM(L217:O217)</f>
        <v>0</v>
      </c>
      <c r="Q217" s="19">
        <v>0</v>
      </c>
      <c r="R217" s="20" t="e">
        <f>Q217/$P217</f>
        <v>#DIV/0!</v>
      </c>
      <c r="S217" s="19">
        <v>0</v>
      </c>
      <c r="T217" s="20" t="e">
        <f>S217/$P217</f>
        <v>#DIV/0!</v>
      </c>
      <c r="U217" s="19">
        <v>0</v>
      </c>
      <c r="V217" s="20" t="e">
        <f>U217/$P217</f>
        <v>#DIV/0!</v>
      </c>
      <c r="W217" s="19">
        <v>0</v>
      </c>
      <c r="X217" s="20" t="e">
        <f>W217/$P217</f>
        <v>#DIV/0!</v>
      </c>
      <c r="Y217" s="19">
        <v>1000</v>
      </c>
      <c r="Z217" s="19">
        <v>1000</v>
      </c>
    </row>
    <row r="218" spans="1:26" x14ac:dyDescent="0.25">
      <c r="A218" s="10">
        <v>4</v>
      </c>
      <c r="B218" s="10">
        <v>4</v>
      </c>
      <c r="D218" s="69" t="s">
        <v>97</v>
      </c>
      <c r="E218" s="21">
        <v>41</v>
      </c>
      <c r="F218" s="21" t="s">
        <v>56</v>
      </c>
      <c r="G218" s="22">
        <f t="shared" ref="G218:Q218" si="83">SUM(G217:G217)</f>
        <v>0</v>
      </c>
      <c r="H218" s="22">
        <f t="shared" si="83"/>
        <v>622.98</v>
      </c>
      <c r="I218" s="22">
        <f t="shared" si="83"/>
        <v>3000</v>
      </c>
      <c r="J218" s="22">
        <f t="shared" si="83"/>
        <v>2600</v>
      </c>
      <c r="K218" s="22">
        <f t="shared" si="83"/>
        <v>1000</v>
      </c>
      <c r="L218" s="22">
        <f t="shared" si="83"/>
        <v>0</v>
      </c>
      <c r="M218" s="22">
        <f t="shared" si="83"/>
        <v>0</v>
      </c>
      <c r="N218" s="22">
        <f t="shared" si="83"/>
        <v>0</v>
      </c>
      <c r="O218" s="22">
        <f t="shared" si="83"/>
        <v>-1000</v>
      </c>
      <c r="P218" s="22">
        <f t="shared" si="83"/>
        <v>0</v>
      </c>
      <c r="Q218" s="22">
        <f t="shared" si="83"/>
        <v>0</v>
      </c>
      <c r="R218" s="23" t="e">
        <f>Q218/$P218</f>
        <v>#DIV/0!</v>
      </c>
      <c r="S218" s="22">
        <f>SUM(S217:S217)</f>
        <v>0</v>
      </c>
      <c r="T218" s="23" t="e">
        <f>S218/$P218</f>
        <v>#DIV/0!</v>
      </c>
      <c r="U218" s="22">
        <f>SUM(U217:U217)</f>
        <v>0</v>
      </c>
      <c r="V218" s="23" t="e">
        <f>U218/$P218</f>
        <v>#DIV/0!</v>
      </c>
      <c r="W218" s="22">
        <f>SUM(W217:W217)</f>
        <v>0</v>
      </c>
      <c r="X218" s="23" t="e">
        <f>W218/$P218</f>
        <v>#DIV/0!</v>
      </c>
      <c r="Y218" s="22">
        <f>SUM(Y217:Y217)</f>
        <v>1000</v>
      </c>
      <c r="Z218" s="22">
        <f>SUM(Z217:Z217)</f>
        <v>1000</v>
      </c>
    </row>
    <row r="220" spans="1:26" x14ac:dyDescent="0.25">
      <c r="D220" s="26" t="s">
        <v>176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7"/>
      <c r="S220" s="26"/>
      <c r="T220" s="27"/>
      <c r="U220" s="26"/>
      <c r="V220" s="27"/>
      <c r="W220" s="26"/>
      <c r="X220" s="27"/>
      <c r="Y220" s="26"/>
      <c r="Z220" s="26"/>
    </row>
    <row r="221" spans="1:26" x14ac:dyDescent="0.25">
      <c r="D221" s="15"/>
      <c r="E221" s="15"/>
      <c r="F221" s="15"/>
      <c r="G221" s="16" t="s">
        <v>1</v>
      </c>
      <c r="H221" s="16" t="s">
        <v>2</v>
      </c>
      <c r="I221" s="16" t="s">
        <v>3</v>
      </c>
      <c r="J221" s="16" t="s">
        <v>4</v>
      </c>
      <c r="K221" s="16" t="s">
        <v>5</v>
      </c>
      <c r="L221" s="16" t="s">
        <v>6</v>
      </c>
      <c r="M221" s="16" t="s">
        <v>7</v>
      </c>
      <c r="N221" s="16" t="s">
        <v>8</v>
      </c>
      <c r="O221" s="16" t="s">
        <v>9</v>
      </c>
      <c r="P221" s="16" t="s">
        <v>10</v>
      </c>
      <c r="Q221" s="16" t="s">
        <v>11</v>
      </c>
      <c r="R221" s="17" t="s">
        <v>12</v>
      </c>
      <c r="S221" s="16" t="s">
        <v>13</v>
      </c>
      <c r="T221" s="17" t="s">
        <v>14</v>
      </c>
      <c r="U221" s="16" t="s">
        <v>15</v>
      </c>
      <c r="V221" s="17" t="s">
        <v>16</v>
      </c>
      <c r="W221" s="16" t="s">
        <v>17</v>
      </c>
      <c r="X221" s="17" t="s">
        <v>18</v>
      </c>
      <c r="Y221" s="16" t="s">
        <v>19</v>
      </c>
      <c r="Z221" s="16" t="s">
        <v>20</v>
      </c>
    </row>
    <row r="222" spans="1:26" x14ac:dyDescent="0.25">
      <c r="A222" s="10">
        <v>5</v>
      </c>
      <c r="D222" s="5" t="s">
        <v>21</v>
      </c>
      <c r="E222" s="29">
        <v>111</v>
      </c>
      <c r="F222" s="29" t="s">
        <v>99</v>
      </c>
      <c r="G222" s="30">
        <f t="shared" ref="G222:Q222" si="84">G228+G263</f>
        <v>24797.280000000002</v>
      </c>
      <c r="H222" s="30">
        <f t="shared" si="84"/>
        <v>17990.579999999998</v>
      </c>
      <c r="I222" s="30">
        <f t="shared" si="84"/>
        <v>23182</v>
      </c>
      <c r="J222" s="30">
        <f t="shared" si="84"/>
        <v>25481.149999999998</v>
      </c>
      <c r="K222" s="30">
        <f t="shared" si="84"/>
        <v>26557</v>
      </c>
      <c r="L222" s="30">
        <f t="shared" si="84"/>
        <v>0</v>
      </c>
      <c r="M222" s="30">
        <f t="shared" si="84"/>
        <v>0</v>
      </c>
      <c r="N222" s="30">
        <f t="shared" si="84"/>
        <v>0</v>
      </c>
      <c r="O222" s="30">
        <f t="shared" si="84"/>
        <v>8045</v>
      </c>
      <c r="P222" s="30">
        <f t="shared" si="84"/>
        <v>34602</v>
      </c>
      <c r="Q222" s="30">
        <f t="shared" si="84"/>
        <v>2126.17</v>
      </c>
      <c r="R222" s="31">
        <f>Q222/$P222</f>
        <v>6.1446448182186003E-2</v>
      </c>
      <c r="S222" s="30">
        <f>S228+S263</f>
        <v>4156.5200000000004</v>
      </c>
      <c r="T222" s="31">
        <f>S222/$P222</f>
        <v>0.12012369227212301</v>
      </c>
      <c r="U222" s="30">
        <f>U228+U263</f>
        <v>18940.37</v>
      </c>
      <c r="V222" s="31">
        <f>U222/$P222</f>
        <v>0.54737789723137387</v>
      </c>
      <c r="W222" s="30">
        <f>W228+W263</f>
        <v>37906.300000000003</v>
      </c>
      <c r="X222" s="31">
        <f>W222/$P222</f>
        <v>1.0954944800878563</v>
      </c>
      <c r="Y222" s="30">
        <f>Y228+Y263</f>
        <v>44667</v>
      </c>
      <c r="Z222" s="30">
        <f>Z228+Z263</f>
        <v>44667</v>
      </c>
    </row>
    <row r="223" spans="1:26" x14ac:dyDescent="0.25">
      <c r="A223" s="10">
        <v>5</v>
      </c>
      <c r="D223" s="5"/>
      <c r="E223" s="29">
        <v>41</v>
      </c>
      <c r="F223" s="29" t="s">
        <v>23</v>
      </c>
      <c r="G223" s="30">
        <f t="shared" ref="G223:Q223" si="85">G229+G264</f>
        <v>34826.660000000003</v>
      </c>
      <c r="H223" s="30">
        <f t="shared" si="85"/>
        <v>88768.82</v>
      </c>
      <c r="I223" s="30">
        <f t="shared" si="85"/>
        <v>51069</v>
      </c>
      <c r="J223" s="30">
        <f t="shared" si="85"/>
        <v>47308.25</v>
      </c>
      <c r="K223" s="30">
        <f t="shared" si="85"/>
        <v>47798</v>
      </c>
      <c r="L223" s="30">
        <f t="shared" si="85"/>
        <v>700</v>
      </c>
      <c r="M223" s="30">
        <f t="shared" si="85"/>
        <v>0</v>
      </c>
      <c r="N223" s="30">
        <f t="shared" si="85"/>
        <v>8008</v>
      </c>
      <c r="O223" s="30">
        <f t="shared" si="85"/>
        <v>10874</v>
      </c>
      <c r="P223" s="30">
        <f t="shared" si="85"/>
        <v>67380</v>
      </c>
      <c r="Q223" s="30">
        <f t="shared" si="85"/>
        <v>7145.7899999999991</v>
      </c>
      <c r="R223" s="31">
        <f>Q223/$P223</f>
        <v>0.1060520926090828</v>
      </c>
      <c r="S223" s="30">
        <f>S229+S264</f>
        <v>29447.739999999998</v>
      </c>
      <c r="T223" s="31">
        <f>S223/$P223</f>
        <v>0.43703977441377262</v>
      </c>
      <c r="U223" s="30">
        <f>U229+U264</f>
        <v>41369.979999999996</v>
      </c>
      <c r="V223" s="31">
        <f>U223/$P223</f>
        <v>0.6139801127931136</v>
      </c>
      <c r="W223" s="30">
        <f>W229+W264</f>
        <v>50246.539999999994</v>
      </c>
      <c r="X223" s="31">
        <f>W223/$P223</f>
        <v>0.74571890768774107</v>
      </c>
      <c r="Y223" s="30">
        <f>Y229+Y264</f>
        <v>50367</v>
      </c>
      <c r="Z223" s="30">
        <f>Z229+Z264</f>
        <v>50415</v>
      </c>
    </row>
    <row r="224" spans="1:26" x14ac:dyDescent="0.25">
      <c r="A224" s="10">
        <v>5</v>
      </c>
      <c r="D224" s="24"/>
      <c r="E224" s="25"/>
      <c r="F224" s="32" t="s">
        <v>31</v>
      </c>
      <c r="G224" s="33">
        <f t="shared" ref="G224:Q224" si="86">SUM(G222:G223)</f>
        <v>59623.94</v>
      </c>
      <c r="H224" s="33">
        <f t="shared" si="86"/>
        <v>106759.40000000001</v>
      </c>
      <c r="I224" s="33">
        <f t="shared" si="86"/>
        <v>74251</v>
      </c>
      <c r="J224" s="33">
        <f t="shared" si="86"/>
        <v>72789.399999999994</v>
      </c>
      <c r="K224" s="33">
        <f t="shared" si="86"/>
        <v>74355</v>
      </c>
      <c r="L224" s="33">
        <f t="shared" si="86"/>
        <v>700</v>
      </c>
      <c r="M224" s="33">
        <f t="shared" si="86"/>
        <v>0</v>
      </c>
      <c r="N224" s="33">
        <f t="shared" si="86"/>
        <v>8008</v>
      </c>
      <c r="O224" s="33">
        <f t="shared" si="86"/>
        <v>18919</v>
      </c>
      <c r="P224" s="33">
        <f t="shared" si="86"/>
        <v>101982</v>
      </c>
      <c r="Q224" s="33">
        <f t="shared" si="86"/>
        <v>9271.9599999999991</v>
      </c>
      <c r="R224" s="34">
        <f>Q224/$P224</f>
        <v>9.0917612912082515E-2</v>
      </c>
      <c r="S224" s="33">
        <f>SUM(S222:S223)</f>
        <v>33604.259999999995</v>
      </c>
      <c r="T224" s="34">
        <f>S224/$P224</f>
        <v>0.32951167853150548</v>
      </c>
      <c r="U224" s="33">
        <f>SUM(U222:U223)</f>
        <v>60310.349999999991</v>
      </c>
      <c r="V224" s="34">
        <f>U224/$P224</f>
        <v>0.59138230275931036</v>
      </c>
      <c r="W224" s="33">
        <f>SUM(W222:W223)</f>
        <v>88152.84</v>
      </c>
      <c r="X224" s="34">
        <f>W224/$P224</f>
        <v>0.86439606989468731</v>
      </c>
      <c r="Y224" s="33">
        <f>SUM(Y222:Y223)</f>
        <v>95034</v>
      </c>
      <c r="Z224" s="33">
        <f>SUM(Z222:Z223)</f>
        <v>95082</v>
      </c>
    </row>
    <row r="226" spans="1:26" x14ac:dyDescent="0.25">
      <c r="D226" s="35" t="s">
        <v>177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6"/>
      <c r="S226" s="35"/>
      <c r="T226" s="36"/>
      <c r="U226" s="35"/>
      <c r="V226" s="36"/>
      <c r="W226" s="35"/>
      <c r="X226" s="36"/>
      <c r="Y226" s="35"/>
      <c r="Z226" s="35"/>
    </row>
    <row r="227" spans="1:26" x14ac:dyDescent="0.25">
      <c r="D227" s="93"/>
      <c r="E227" s="93"/>
      <c r="F227" s="93"/>
      <c r="G227" s="16" t="s">
        <v>1</v>
      </c>
      <c r="H227" s="16" t="s">
        <v>2</v>
      </c>
      <c r="I227" s="16" t="s">
        <v>3</v>
      </c>
      <c r="J227" s="16" t="s">
        <v>4</v>
      </c>
      <c r="K227" s="16" t="s">
        <v>5</v>
      </c>
      <c r="L227" s="16" t="s">
        <v>6</v>
      </c>
      <c r="M227" s="16" t="s">
        <v>7</v>
      </c>
      <c r="N227" s="16" t="s">
        <v>8</v>
      </c>
      <c r="O227" s="16" t="s">
        <v>9</v>
      </c>
      <c r="P227" s="16" t="s">
        <v>10</v>
      </c>
      <c r="Q227" s="16" t="s">
        <v>11</v>
      </c>
      <c r="R227" s="17" t="s">
        <v>12</v>
      </c>
      <c r="S227" s="16" t="s">
        <v>13</v>
      </c>
      <c r="T227" s="17" t="s">
        <v>14</v>
      </c>
      <c r="U227" s="16" t="s">
        <v>15</v>
      </c>
      <c r="V227" s="17" t="s">
        <v>16</v>
      </c>
      <c r="W227" s="16" t="s">
        <v>17</v>
      </c>
      <c r="X227" s="17" t="s">
        <v>18</v>
      </c>
      <c r="Y227" s="16" t="s">
        <v>19</v>
      </c>
      <c r="Z227" s="16" t="s">
        <v>20</v>
      </c>
    </row>
    <row r="228" spans="1:26" x14ac:dyDescent="0.25">
      <c r="A228" s="10">
        <v>5</v>
      </c>
      <c r="B228" s="10">
        <v>1</v>
      </c>
      <c r="D228" s="8" t="s">
        <v>21</v>
      </c>
      <c r="E228" s="18">
        <v>111</v>
      </c>
      <c r="F228" s="18" t="s">
        <v>99</v>
      </c>
      <c r="G228" s="19">
        <f t="shared" ref="G228:Q228" si="87">G242</f>
        <v>264.89999999999998</v>
      </c>
      <c r="H228" s="19">
        <f t="shared" si="87"/>
        <v>241.23</v>
      </c>
      <c r="I228" s="19">
        <f t="shared" si="87"/>
        <v>242</v>
      </c>
      <c r="J228" s="19">
        <f t="shared" si="87"/>
        <v>241.23</v>
      </c>
      <c r="K228" s="19">
        <f t="shared" si="87"/>
        <v>229</v>
      </c>
      <c r="L228" s="19">
        <f t="shared" si="87"/>
        <v>0</v>
      </c>
      <c r="M228" s="19">
        <f t="shared" si="87"/>
        <v>0</v>
      </c>
      <c r="N228" s="19">
        <f t="shared" si="87"/>
        <v>0</v>
      </c>
      <c r="O228" s="19">
        <f t="shared" si="87"/>
        <v>0</v>
      </c>
      <c r="P228" s="19">
        <f t="shared" si="87"/>
        <v>229</v>
      </c>
      <c r="Q228" s="19">
        <f t="shared" si="87"/>
        <v>0</v>
      </c>
      <c r="R228" s="20">
        <f>Q228/$P228</f>
        <v>0</v>
      </c>
      <c r="S228" s="19">
        <f>S242</f>
        <v>0</v>
      </c>
      <c r="T228" s="20">
        <f>S228/$P228</f>
        <v>0</v>
      </c>
      <c r="U228" s="19">
        <f>U242</f>
        <v>0</v>
      </c>
      <c r="V228" s="20">
        <f>U228/$P228</f>
        <v>0</v>
      </c>
      <c r="W228" s="19">
        <f>W242</f>
        <v>0</v>
      </c>
      <c r="X228" s="20">
        <f>W228/$P228</f>
        <v>0</v>
      </c>
      <c r="Y228" s="19">
        <f>Y242</f>
        <v>229</v>
      </c>
      <c r="Z228" s="19">
        <f>Z242</f>
        <v>229</v>
      </c>
    </row>
    <row r="229" spans="1:26" x14ac:dyDescent="0.25">
      <c r="A229" s="10">
        <v>5</v>
      </c>
      <c r="B229" s="10">
        <v>1</v>
      </c>
      <c r="D229" s="8"/>
      <c r="E229" s="18">
        <v>41</v>
      </c>
      <c r="F229" s="18" t="s">
        <v>23</v>
      </c>
      <c r="G229" s="19">
        <f t="shared" ref="G229:Q229" si="88">G236+G244+G251+G259</f>
        <v>18437.670000000002</v>
      </c>
      <c r="H229" s="19">
        <f t="shared" si="88"/>
        <v>25563.47</v>
      </c>
      <c r="I229" s="19">
        <f t="shared" si="88"/>
        <v>22920</v>
      </c>
      <c r="J229" s="19">
        <f t="shared" si="88"/>
        <v>19873.78</v>
      </c>
      <c r="K229" s="19">
        <f t="shared" si="88"/>
        <v>19553</v>
      </c>
      <c r="L229" s="19">
        <f t="shared" si="88"/>
        <v>700</v>
      </c>
      <c r="M229" s="19">
        <f t="shared" si="88"/>
        <v>0</v>
      </c>
      <c r="N229" s="19">
        <f t="shared" si="88"/>
        <v>446</v>
      </c>
      <c r="O229" s="19">
        <f t="shared" si="88"/>
        <v>10</v>
      </c>
      <c r="P229" s="19">
        <f t="shared" si="88"/>
        <v>20709</v>
      </c>
      <c r="Q229" s="19">
        <f t="shared" si="88"/>
        <v>3082.0299999999997</v>
      </c>
      <c r="R229" s="20">
        <f>Q229/$P229</f>
        <v>0.14882563136800422</v>
      </c>
      <c r="S229" s="19">
        <f>S236+S244+S251+S259</f>
        <v>11186.279999999999</v>
      </c>
      <c r="T229" s="20">
        <f>S229/$P229</f>
        <v>0.5401651455888743</v>
      </c>
      <c r="U229" s="19">
        <f>U236+U244+U251+U259</f>
        <v>14726.130000000001</v>
      </c>
      <c r="V229" s="20">
        <f>U229/$P229</f>
        <v>0.71109807330146313</v>
      </c>
      <c r="W229" s="19">
        <f>W236+W244+W251+W259</f>
        <v>18615.919999999998</v>
      </c>
      <c r="X229" s="20">
        <f>W229/$P229</f>
        <v>0.89892896808151035</v>
      </c>
      <c r="Y229" s="19">
        <f>Y236+Y244+Y251+Y259</f>
        <v>18382</v>
      </c>
      <c r="Z229" s="19">
        <f>Z236+Z244+Z251+Z259</f>
        <v>18382</v>
      </c>
    </row>
    <row r="230" spans="1:26" x14ac:dyDescent="0.25">
      <c r="A230" s="10">
        <v>5</v>
      </c>
      <c r="B230" s="10">
        <v>1</v>
      </c>
      <c r="D230" s="24"/>
      <c r="E230" s="25"/>
      <c r="F230" s="21" t="s">
        <v>31</v>
      </c>
      <c r="G230" s="22">
        <f t="shared" ref="G230:Q230" si="89">SUM(G228:G229)</f>
        <v>18702.570000000003</v>
      </c>
      <c r="H230" s="22">
        <f t="shared" si="89"/>
        <v>25804.7</v>
      </c>
      <c r="I230" s="22">
        <f t="shared" si="89"/>
        <v>23162</v>
      </c>
      <c r="J230" s="22">
        <f t="shared" si="89"/>
        <v>20115.009999999998</v>
      </c>
      <c r="K230" s="22">
        <f t="shared" si="89"/>
        <v>19782</v>
      </c>
      <c r="L230" s="22">
        <f t="shared" si="89"/>
        <v>700</v>
      </c>
      <c r="M230" s="22">
        <f t="shared" si="89"/>
        <v>0</v>
      </c>
      <c r="N230" s="22">
        <f t="shared" si="89"/>
        <v>446</v>
      </c>
      <c r="O230" s="22">
        <f t="shared" si="89"/>
        <v>10</v>
      </c>
      <c r="P230" s="22">
        <f t="shared" si="89"/>
        <v>20938</v>
      </c>
      <c r="Q230" s="22">
        <f t="shared" si="89"/>
        <v>3082.0299999999997</v>
      </c>
      <c r="R230" s="23">
        <f>Q230/$P230</f>
        <v>0.14719791766166776</v>
      </c>
      <c r="S230" s="22">
        <f>SUM(S228:S229)</f>
        <v>11186.279999999999</v>
      </c>
      <c r="T230" s="23">
        <f>S230/$P230</f>
        <v>0.53425733116821084</v>
      </c>
      <c r="U230" s="22">
        <f>SUM(U228:U229)</f>
        <v>14726.130000000001</v>
      </c>
      <c r="V230" s="23">
        <f>U230/$P230</f>
        <v>0.7033207565192473</v>
      </c>
      <c r="W230" s="22">
        <f>SUM(W228:W229)</f>
        <v>18615.919999999998</v>
      </c>
      <c r="X230" s="23">
        <f>W230/$P230</f>
        <v>0.88909733498901511</v>
      </c>
      <c r="Y230" s="22">
        <f>SUM(Y228:Y229)</f>
        <v>18611</v>
      </c>
      <c r="Z230" s="22">
        <f>SUM(Z228:Z229)</f>
        <v>18611</v>
      </c>
    </row>
    <row r="232" spans="1:26" x14ac:dyDescent="0.25">
      <c r="D232" s="65" t="s">
        <v>178</v>
      </c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6"/>
      <c r="S232" s="65"/>
      <c r="T232" s="66"/>
      <c r="U232" s="65"/>
      <c r="V232" s="66"/>
      <c r="W232" s="65"/>
      <c r="X232" s="66"/>
      <c r="Y232" s="65"/>
      <c r="Z232" s="65"/>
    </row>
    <row r="233" spans="1:26" x14ac:dyDescent="0.25">
      <c r="D233" s="16" t="s">
        <v>33</v>
      </c>
      <c r="E233" s="16" t="s">
        <v>34</v>
      </c>
      <c r="F233" s="16" t="s">
        <v>35</v>
      </c>
      <c r="G233" s="16" t="s">
        <v>1</v>
      </c>
      <c r="H233" s="16" t="s">
        <v>2</v>
      </c>
      <c r="I233" s="16" t="s">
        <v>3</v>
      </c>
      <c r="J233" s="16" t="s">
        <v>4</v>
      </c>
      <c r="K233" s="16" t="s">
        <v>5</v>
      </c>
      <c r="L233" s="16" t="s">
        <v>6</v>
      </c>
      <c r="M233" s="16" t="s">
        <v>7</v>
      </c>
      <c r="N233" s="16" t="s">
        <v>8</v>
      </c>
      <c r="O233" s="16" t="s">
        <v>9</v>
      </c>
      <c r="P233" s="16" t="s">
        <v>10</v>
      </c>
      <c r="Q233" s="16" t="s">
        <v>11</v>
      </c>
      <c r="R233" s="17" t="s">
        <v>12</v>
      </c>
      <c r="S233" s="16" t="s">
        <v>13</v>
      </c>
      <c r="T233" s="17" t="s">
        <v>14</v>
      </c>
      <c r="U233" s="16" t="s">
        <v>15</v>
      </c>
      <c r="V233" s="17" t="s">
        <v>16</v>
      </c>
      <c r="W233" s="16" t="s">
        <v>17</v>
      </c>
      <c r="X233" s="17" t="s">
        <v>18</v>
      </c>
      <c r="Y233" s="16" t="s">
        <v>19</v>
      </c>
      <c r="Z233" s="16" t="s">
        <v>20</v>
      </c>
    </row>
    <row r="234" spans="1:26" x14ac:dyDescent="0.25">
      <c r="A234" s="10">
        <v>5</v>
      </c>
      <c r="B234" s="10">
        <v>1</v>
      </c>
      <c r="C234" s="10">
        <v>1</v>
      </c>
      <c r="D234" s="7" t="s">
        <v>179</v>
      </c>
      <c r="E234" s="18">
        <v>630</v>
      </c>
      <c r="F234" s="18" t="s">
        <v>118</v>
      </c>
      <c r="G234" s="19">
        <v>6704.79</v>
      </c>
      <c r="H234" s="19">
        <v>11359.88</v>
      </c>
      <c r="I234" s="19">
        <v>8600</v>
      </c>
      <c r="J234" s="19">
        <v>6373.5</v>
      </c>
      <c r="K234" s="19">
        <f>1300+1400</f>
        <v>2700</v>
      </c>
      <c r="L234" s="19">
        <v>700</v>
      </c>
      <c r="M234" s="19"/>
      <c r="N234" s="19"/>
      <c r="O234" s="19">
        <v>10</v>
      </c>
      <c r="P234" s="19">
        <f>K234+SUM(L234:O234)</f>
        <v>3410</v>
      </c>
      <c r="Q234" s="19">
        <v>71.22</v>
      </c>
      <c r="R234" s="20">
        <f>Q234/$P234</f>
        <v>2.0885630498533723E-2</v>
      </c>
      <c r="S234" s="19">
        <v>1126.8699999999999</v>
      </c>
      <c r="T234" s="20">
        <f>S234/$P234</f>
        <v>0.33046041055718473</v>
      </c>
      <c r="U234" s="19">
        <v>1278.48</v>
      </c>
      <c r="V234" s="20">
        <f>U234/$P234</f>
        <v>0.37492082111436953</v>
      </c>
      <c r="W234" s="19">
        <v>1451.34</v>
      </c>
      <c r="X234" s="20">
        <f>W234/$P234</f>
        <v>0.42561290322580642</v>
      </c>
      <c r="Y234" s="19">
        <v>1300</v>
      </c>
      <c r="Z234" s="19">
        <f>Y234</f>
        <v>1300</v>
      </c>
    </row>
    <row r="235" spans="1:26" x14ac:dyDescent="0.25">
      <c r="A235" s="10">
        <v>5</v>
      </c>
      <c r="B235" s="10">
        <v>1</v>
      </c>
      <c r="C235" s="10">
        <v>1</v>
      </c>
      <c r="D235" s="7"/>
      <c r="E235" s="18">
        <v>640</v>
      </c>
      <c r="F235" s="18" t="s">
        <v>119</v>
      </c>
      <c r="G235" s="19">
        <v>0</v>
      </c>
      <c r="H235" s="19">
        <v>0</v>
      </c>
      <c r="I235" s="19">
        <v>0</v>
      </c>
      <c r="J235" s="19">
        <v>0</v>
      </c>
      <c r="K235" s="19">
        <v>3700</v>
      </c>
      <c r="L235" s="19"/>
      <c r="M235" s="19"/>
      <c r="N235" s="19"/>
      <c r="O235" s="19"/>
      <c r="P235" s="19">
        <f>K235+SUM(L235:O235)</f>
        <v>3700</v>
      </c>
      <c r="Q235" s="19">
        <v>1150</v>
      </c>
      <c r="R235" s="20">
        <f>Q235/$P235</f>
        <v>0.3108108108108108</v>
      </c>
      <c r="S235" s="19">
        <v>3700</v>
      </c>
      <c r="T235" s="20">
        <f>S235/$P235</f>
        <v>1</v>
      </c>
      <c r="U235" s="19">
        <v>3700</v>
      </c>
      <c r="V235" s="20">
        <f>U235/$P235</f>
        <v>1</v>
      </c>
      <c r="W235" s="19">
        <v>3700</v>
      </c>
      <c r="X235" s="20">
        <f>W235/$P235</f>
        <v>1</v>
      </c>
      <c r="Y235" s="19">
        <f>K235</f>
        <v>3700</v>
      </c>
      <c r="Z235" s="19">
        <f>Y235</f>
        <v>3700</v>
      </c>
    </row>
    <row r="236" spans="1:26" x14ac:dyDescent="0.25">
      <c r="A236" s="10">
        <v>5</v>
      </c>
      <c r="B236" s="10">
        <v>1</v>
      </c>
      <c r="C236" s="10">
        <v>1</v>
      </c>
      <c r="D236" s="69" t="s">
        <v>97</v>
      </c>
      <c r="E236" s="21">
        <v>41</v>
      </c>
      <c r="F236" s="21" t="s">
        <v>56</v>
      </c>
      <c r="G236" s="22">
        <f t="shared" ref="G236:Q236" si="90">SUM(G234:G235)</f>
        <v>6704.79</v>
      </c>
      <c r="H236" s="22">
        <f t="shared" si="90"/>
        <v>11359.88</v>
      </c>
      <c r="I236" s="22">
        <f t="shared" si="90"/>
        <v>8600</v>
      </c>
      <c r="J236" s="22">
        <f t="shared" si="90"/>
        <v>6373.5</v>
      </c>
      <c r="K236" s="22">
        <f t="shared" si="90"/>
        <v>6400</v>
      </c>
      <c r="L236" s="22">
        <f t="shared" si="90"/>
        <v>700</v>
      </c>
      <c r="M236" s="22">
        <f t="shared" si="90"/>
        <v>0</v>
      </c>
      <c r="N236" s="22">
        <f t="shared" si="90"/>
        <v>0</v>
      </c>
      <c r="O236" s="22">
        <f t="shared" si="90"/>
        <v>10</v>
      </c>
      <c r="P236" s="22">
        <f t="shared" si="90"/>
        <v>7110</v>
      </c>
      <c r="Q236" s="22">
        <f t="shared" si="90"/>
        <v>1221.22</v>
      </c>
      <c r="R236" s="23">
        <f>Q236/$P236</f>
        <v>0.17176090014064699</v>
      </c>
      <c r="S236" s="22">
        <f>SUM(S234:S235)</f>
        <v>4826.87</v>
      </c>
      <c r="T236" s="23">
        <f>S236/$P236</f>
        <v>0.67888466947960613</v>
      </c>
      <c r="U236" s="22">
        <f>SUM(U234:U235)</f>
        <v>4978.4799999999996</v>
      </c>
      <c r="V236" s="23">
        <f>U236/$P236</f>
        <v>0.70020815752461318</v>
      </c>
      <c r="W236" s="22">
        <f>SUM(W234:W235)</f>
        <v>5151.34</v>
      </c>
      <c r="X236" s="23">
        <f>W236/$P236</f>
        <v>0.7245203938115331</v>
      </c>
      <c r="Y236" s="22">
        <f>SUM(Y234:Y235)</f>
        <v>5000</v>
      </c>
      <c r="Z236" s="22">
        <f>SUM(Z234:Z235)</f>
        <v>5000</v>
      </c>
    </row>
    <row r="238" spans="1:26" x14ac:dyDescent="0.25">
      <c r="D238" s="65" t="s">
        <v>180</v>
      </c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6"/>
      <c r="S238" s="65"/>
      <c r="T238" s="66"/>
      <c r="U238" s="65"/>
      <c r="V238" s="66"/>
      <c r="W238" s="65"/>
      <c r="X238" s="66"/>
      <c r="Y238" s="65"/>
      <c r="Z238" s="65"/>
    </row>
    <row r="239" spans="1:26" x14ac:dyDescent="0.25">
      <c r="D239" s="16" t="s">
        <v>33</v>
      </c>
      <c r="E239" s="16" t="s">
        <v>34</v>
      </c>
      <c r="F239" s="16" t="s">
        <v>35</v>
      </c>
      <c r="G239" s="16" t="s">
        <v>1</v>
      </c>
      <c r="H239" s="16" t="s">
        <v>2</v>
      </c>
      <c r="I239" s="16" t="s">
        <v>3</v>
      </c>
      <c r="J239" s="16" t="s">
        <v>4</v>
      </c>
      <c r="K239" s="16" t="s">
        <v>5</v>
      </c>
      <c r="L239" s="16" t="s">
        <v>6</v>
      </c>
      <c r="M239" s="16" t="s">
        <v>7</v>
      </c>
      <c r="N239" s="16" t="s">
        <v>8</v>
      </c>
      <c r="O239" s="16" t="s">
        <v>9</v>
      </c>
      <c r="P239" s="16" t="s">
        <v>10</v>
      </c>
      <c r="Q239" s="16" t="s">
        <v>11</v>
      </c>
      <c r="R239" s="17" t="s">
        <v>12</v>
      </c>
      <c r="S239" s="16" t="s">
        <v>13</v>
      </c>
      <c r="T239" s="17" t="s">
        <v>14</v>
      </c>
      <c r="U239" s="16" t="s">
        <v>15</v>
      </c>
      <c r="V239" s="17" t="s">
        <v>16</v>
      </c>
      <c r="W239" s="16" t="s">
        <v>17</v>
      </c>
      <c r="X239" s="17" t="s">
        <v>18</v>
      </c>
      <c r="Y239" s="16" t="s">
        <v>19</v>
      </c>
      <c r="Z239" s="16" t="s">
        <v>20</v>
      </c>
    </row>
    <row r="240" spans="1:26" x14ac:dyDescent="0.25">
      <c r="A240" s="10">
        <v>5</v>
      </c>
      <c r="B240" s="10">
        <v>1</v>
      </c>
      <c r="C240" s="10">
        <v>2</v>
      </c>
      <c r="D240" s="7" t="s">
        <v>181</v>
      </c>
      <c r="E240" s="18">
        <v>620</v>
      </c>
      <c r="F240" s="18" t="s">
        <v>117</v>
      </c>
      <c r="G240" s="19">
        <v>60.17</v>
      </c>
      <c r="H240" s="19">
        <v>59.23</v>
      </c>
      <c r="I240" s="19">
        <v>60</v>
      </c>
      <c r="J240" s="19">
        <v>59.23</v>
      </c>
      <c r="K240" s="19">
        <v>47</v>
      </c>
      <c r="L240" s="19"/>
      <c r="M240" s="19"/>
      <c r="N240" s="19"/>
      <c r="O240" s="19"/>
      <c r="P240" s="19">
        <f>K240+SUM(L240:O240)</f>
        <v>47</v>
      </c>
      <c r="Q240" s="19">
        <v>0</v>
      </c>
      <c r="R240" s="20">
        <f t="shared" ref="R240:R245" si="91">Q240/$P240</f>
        <v>0</v>
      </c>
      <c r="S240" s="19">
        <v>0</v>
      </c>
      <c r="T240" s="20">
        <f t="shared" ref="T240:T245" si="92">S240/$P240</f>
        <v>0</v>
      </c>
      <c r="U240" s="19">
        <v>0</v>
      </c>
      <c r="V240" s="20">
        <f t="shared" ref="V240:V245" si="93">U240/$P240</f>
        <v>0</v>
      </c>
      <c r="W240" s="19">
        <v>0</v>
      </c>
      <c r="X240" s="20">
        <f t="shared" ref="X240:X245" si="94">W240/$P240</f>
        <v>0</v>
      </c>
      <c r="Y240" s="19">
        <f>K240</f>
        <v>47</v>
      </c>
      <c r="Z240" s="19">
        <f>Y240</f>
        <v>47</v>
      </c>
    </row>
    <row r="241" spans="1:26" x14ac:dyDescent="0.25">
      <c r="A241" s="10">
        <v>5</v>
      </c>
      <c r="B241" s="10">
        <v>1</v>
      </c>
      <c r="C241" s="10">
        <v>2</v>
      </c>
      <c r="D241" s="7"/>
      <c r="E241" s="18">
        <v>630</v>
      </c>
      <c r="F241" s="18" t="s">
        <v>118</v>
      </c>
      <c r="G241" s="19">
        <v>204.73</v>
      </c>
      <c r="H241" s="19">
        <v>182</v>
      </c>
      <c r="I241" s="19">
        <v>182</v>
      </c>
      <c r="J241" s="19">
        <v>182</v>
      </c>
      <c r="K241" s="19">
        <v>182</v>
      </c>
      <c r="L241" s="19"/>
      <c r="M241" s="19"/>
      <c r="N241" s="19"/>
      <c r="O241" s="19"/>
      <c r="P241" s="19">
        <f>K241+SUM(L241:O241)</f>
        <v>182</v>
      </c>
      <c r="Q241" s="19">
        <v>0</v>
      </c>
      <c r="R241" s="20">
        <f t="shared" si="91"/>
        <v>0</v>
      </c>
      <c r="S241" s="19">
        <v>0</v>
      </c>
      <c r="T241" s="20">
        <f t="shared" si="92"/>
        <v>0</v>
      </c>
      <c r="U241" s="19">
        <v>0</v>
      </c>
      <c r="V241" s="20">
        <f t="shared" si="93"/>
        <v>0</v>
      </c>
      <c r="W241" s="19">
        <v>0</v>
      </c>
      <c r="X241" s="20">
        <f t="shared" si="94"/>
        <v>0</v>
      </c>
      <c r="Y241" s="19">
        <f>K241</f>
        <v>182</v>
      </c>
      <c r="Z241" s="19">
        <f>Y241</f>
        <v>182</v>
      </c>
    </row>
    <row r="242" spans="1:26" x14ac:dyDescent="0.25">
      <c r="A242" s="10">
        <v>5</v>
      </c>
      <c r="B242" s="10">
        <v>1</v>
      </c>
      <c r="C242" s="10">
        <v>2</v>
      </c>
      <c r="D242" s="80" t="s">
        <v>97</v>
      </c>
      <c r="E242" s="81">
        <v>111</v>
      </c>
      <c r="F242" s="81" t="s">
        <v>139</v>
      </c>
      <c r="G242" s="82">
        <f t="shared" ref="G242:Q242" si="95">SUM(G240:G241)</f>
        <v>264.89999999999998</v>
      </c>
      <c r="H242" s="82">
        <f t="shared" si="95"/>
        <v>241.23</v>
      </c>
      <c r="I242" s="82">
        <f t="shared" si="95"/>
        <v>242</v>
      </c>
      <c r="J242" s="82">
        <f t="shared" si="95"/>
        <v>241.23</v>
      </c>
      <c r="K242" s="82">
        <f t="shared" si="95"/>
        <v>229</v>
      </c>
      <c r="L242" s="82">
        <f t="shared" si="95"/>
        <v>0</v>
      </c>
      <c r="M242" s="82">
        <f t="shared" si="95"/>
        <v>0</v>
      </c>
      <c r="N242" s="82">
        <f t="shared" si="95"/>
        <v>0</v>
      </c>
      <c r="O242" s="82">
        <f t="shared" si="95"/>
        <v>0</v>
      </c>
      <c r="P242" s="82">
        <f t="shared" si="95"/>
        <v>229</v>
      </c>
      <c r="Q242" s="82">
        <f t="shared" si="95"/>
        <v>0</v>
      </c>
      <c r="R242" s="83">
        <f t="shared" si="91"/>
        <v>0</v>
      </c>
      <c r="S242" s="82">
        <f>SUM(S240:S241)</f>
        <v>0</v>
      </c>
      <c r="T242" s="83">
        <f t="shared" si="92"/>
        <v>0</v>
      </c>
      <c r="U242" s="82">
        <f>SUM(U240:U241)</f>
        <v>0</v>
      </c>
      <c r="V242" s="83">
        <f t="shared" si="93"/>
        <v>0</v>
      </c>
      <c r="W242" s="82">
        <f>SUM(W240:W241)</f>
        <v>0</v>
      </c>
      <c r="X242" s="83">
        <f t="shared" si="94"/>
        <v>0</v>
      </c>
      <c r="Y242" s="82">
        <f>SUM(Y240:Y241)</f>
        <v>229</v>
      </c>
      <c r="Z242" s="82">
        <f>SUM(Z240:Z241)</f>
        <v>229</v>
      </c>
    </row>
    <row r="243" spans="1:26" x14ac:dyDescent="0.25">
      <c r="A243" s="10">
        <v>5</v>
      </c>
      <c r="B243" s="10">
        <v>1</v>
      </c>
      <c r="C243" s="10">
        <v>2</v>
      </c>
      <c r="D243" s="40" t="s">
        <v>181</v>
      </c>
      <c r="E243" s="18">
        <v>630</v>
      </c>
      <c r="F243" s="18" t="s">
        <v>118</v>
      </c>
      <c r="G243" s="19">
        <v>0</v>
      </c>
      <c r="H243" s="19">
        <v>1059.8</v>
      </c>
      <c r="I243" s="19">
        <v>0</v>
      </c>
      <c r="J243" s="19">
        <v>144.4</v>
      </c>
      <c r="K243" s="19">
        <v>0</v>
      </c>
      <c r="L243" s="19"/>
      <c r="M243" s="19"/>
      <c r="N243" s="19"/>
      <c r="O243" s="19"/>
      <c r="P243" s="19">
        <f>K243+SUM(L243:O243)</f>
        <v>0</v>
      </c>
      <c r="Q243" s="19">
        <v>0</v>
      </c>
      <c r="R243" s="20" t="e">
        <f t="shared" si="91"/>
        <v>#DIV/0!</v>
      </c>
      <c r="S243" s="19">
        <v>0</v>
      </c>
      <c r="T243" s="20" t="e">
        <f t="shared" si="92"/>
        <v>#DIV/0!</v>
      </c>
      <c r="U243" s="19">
        <v>0</v>
      </c>
      <c r="V243" s="20" t="e">
        <f t="shared" si="93"/>
        <v>#DIV/0!</v>
      </c>
      <c r="W243" s="19">
        <v>0</v>
      </c>
      <c r="X243" s="20" t="e">
        <f t="shared" si="94"/>
        <v>#DIV/0!</v>
      </c>
      <c r="Y243" s="19">
        <f>K242</f>
        <v>229</v>
      </c>
      <c r="Z243" s="19">
        <f>Y243</f>
        <v>229</v>
      </c>
    </row>
    <row r="244" spans="1:26" x14ac:dyDescent="0.25">
      <c r="A244" s="10">
        <v>5</v>
      </c>
      <c r="B244" s="10">
        <v>1</v>
      </c>
      <c r="C244" s="10">
        <v>2</v>
      </c>
      <c r="D244" s="80" t="s">
        <v>97</v>
      </c>
      <c r="E244" s="81">
        <v>41</v>
      </c>
      <c r="F244" s="81" t="s">
        <v>56</v>
      </c>
      <c r="G244" s="82">
        <f>SUM(G243:G243)</f>
        <v>0</v>
      </c>
      <c r="H244" s="82">
        <f>SUM(H243:H243)</f>
        <v>1059.8</v>
      </c>
      <c r="I244" s="82">
        <f>SUM(I243:I243)</f>
        <v>0</v>
      </c>
      <c r="J244" s="82">
        <f>SUM(J243:J243)</f>
        <v>144.4</v>
      </c>
      <c r="K244" s="82">
        <f>SUM(K243)</f>
        <v>0</v>
      </c>
      <c r="L244" s="82">
        <f>SUM(L242:L242)</f>
        <v>0</v>
      </c>
      <c r="M244" s="82">
        <f>SUM(M242:M242)</f>
        <v>0</v>
      </c>
      <c r="N244" s="82">
        <f>SUM(N242:N242)</f>
        <v>0</v>
      </c>
      <c r="O244" s="82">
        <f>SUM(O242:O242)</f>
        <v>0</v>
      </c>
      <c r="P244" s="82">
        <f>SUM(P243)</f>
        <v>0</v>
      </c>
      <c r="Q244" s="82">
        <f>SUM(Q242:Q242)</f>
        <v>0</v>
      </c>
      <c r="R244" s="83" t="e">
        <f t="shared" si="91"/>
        <v>#DIV/0!</v>
      </c>
      <c r="S244" s="82">
        <f>SUM(S242:S242)</f>
        <v>0</v>
      </c>
      <c r="T244" s="83" t="e">
        <f t="shared" si="92"/>
        <v>#DIV/0!</v>
      </c>
      <c r="U244" s="82">
        <f>SUM(U242:U242)</f>
        <v>0</v>
      </c>
      <c r="V244" s="83" t="e">
        <f t="shared" si="93"/>
        <v>#DIV/0!</v>
      </c>
      <c r="W244" s="82">
        <f>SUM(W242:W242)</f>
        <v>0</v>
      </c>
      <c r="X244" s="83" t="e">
        <f t="shared" si="94"/>
        <v>#DIV/0!</v>
      </c>
      <c r="Y244" s="82">
        <f>SUM(Y243:Y243)</f>
        <v>229</v>
      </c>
      <c r="Z244" s="82">
        <f>SUM(Z243:Z243)</f>
        <v>229</v>
      </c>
    </row>
    <row r="245" spans="1:26" x14ac:dyDescent="0.25">
      <c r="D245" s="24"/>
      <c r="E245" s="25"/>
      <c r="F245" s="21" t="s">
        <v>31</v>
      </c>
      <c r="G245" s="22">
        <f t="shared" ref="G245:Q245" si="96">G242+G244</f>
        <v>264.89999999999998</v>
      </c>
      <c r="H245" s="22">
        <f t="shared" si="96"/>
        <v>1301.03</v>
      </c>
      <c r="I245" s="22">
        <f t="shared" si="96"/>
        <v>242</v>
      </c>
      <c r="J245" s="22">
        <f t="shared" si="96"/>
        <v>385.63</v>
      </c>
      <c r="K245" s="22">
        <f t="shared" si="96"/>
        <v>229</v>
      </c>
      <c r="L245" s="22">
        <f t="shared" si="96"/>
        <v>0</v>
      </c>
      <c r="M245" s="22">
        <f t="shared" si="96"/>
        <v>0</v>
      </c>
      <c r="N245" s="22">
        <f t="shared" si="96"/>
        <v>0</v>
      </c>
      <c r="O245" s="22">
        <f t="shared" si="96"/>
        <v>0</v>
      </c>
      <c r="P245" s="22">
        <f t="shared" si="96"/>
        <v>229</v>
      </c>
      <c r="Q245" s="22">
        <f t="shared" si="96"/>
        <v>0</v>
      </c>
      <c r="R245" s="23">
        <f t="shared" si="91"/>
        <v>0</v>
      </c>
      <c r="S245" s="22">
        <f>S242+S244</f>
        <v>0</v>
      </c>
      <c r="T245" s="23">
        <f t="shared" si="92"/>
        <v>0</v>
      </c>
      <c r="U245" s="22">
        <f>U242+U244</f>
        <v>0</v>
      </c>
      <c r="V245" s="23">
        <f t="shared" si="93"/>
        <v>0</v>
      </c>
      <c r="W245" s="22">
        <f>W242+W244</f>
        <v>0</v>
      </c>
      <c r="X245" s="23">
        <f t="shared" si="94"/>
        <v>0</v>
      </c>
      <c r="Y245" s="22">
        <f>Y242+Y244</f>
        <v>458</v>
      </c>
      <c r="Z245" s="22">
        <f>Z242+Z244</f>
        <v>458</v>
      </c>
    </row>
    <row r="247" spans="1:26" x14ac:dyDescent="0.25">
      <c r="D247" s="65" t="s">
        <v>182</v>
      </c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6"/>
      <c r="S247" s="65"/>
      <c r="T247" s="66"/>
      <c r="U247" s="65"/>
      <c r="V247" s="66"/>
      <c r="W247" s="65"/>
      <c r="X247" s="66"/>
      <c r="Y247" s="65"/>
      <c r="Z247" s="65"/>
    </row>
    <row r="248" spans="1:26" x14ac:dyDescent="0.25">
      <c r="D248" s="16" t="s">
        <v>33</v>
      </c>
      <c r="E248" s="16" t="s">
        <v>34</v>
      </c>
      <c r="F248" s="16" t="s">
        <v>35</v>
      </c>
      <c r="G248" s="16" t="s">
        <v>1</v>
      </c>
      <c r="H248" s="16" t="s">
        <v>2</v>
      </c>
      <c r="I248" s="16" t="s">
        <v>3</v>
      </c>
      <c r="J248" s="16" t="s">
        <v>4</v>
      </c>
      <c r="K248" s="16" t="s">
        <v>5</v>
      </c>
      <c r="L248" s="16" t="s">
        <v>6</v>
      </c>
      <c r="M248" s="16" t="s">
        <v>7</v>
      </c>
      <c r="N248" s="16" t="s">
        <v>8</v>
      </c>
      <c r="O248" s="16" t="s">
        <v>9</v>
      </c>
      <c r="P248" s="16" t="s">
        <v>10</v>
      </c>
      <c r="Q248" s="16" t="s">
        <v>11</v>
      </c>
      <c r="R248" s="17" t="s">
        <v>12</v>
      </c>
      <c r="S248" s="16" t="s">
        <v>13</v>
      </c>
      <c r="T248" s="17" t="s">
        <v>14</v>
      </c>
      <c r="U248" s="16" t="s">
        <v>15</v>
      </c>
      <c r="V248" s="17" t="s">
        <v>16</v>
      </c>
      <c r="W248" s="16" t="s">
        <v>17</v>
      </c>
      <c r="X248" s="17" t="s">
        <v>18</v>
      </c>
      <c r="Y248" s="16" t="s">
        <v>19</v>
      </c>
      <c r="Z248" s="16" t="s">
        <v>20</v>
      </c>
    </row>
    <row r="249" spans="1:26" x14ac:dyDescent="0.25">
      <c r="A249" s="10">
        <v>5</v>
      </c>
      <c r="B249" s="10">
        <v>1</v>
      </c>
      <c r="C249" s="10">
        <v>3</v>
      </c>
      <c r="D249" s="7" t="s">
        <v>183</v>
      </c>
      <c r="E249" s="18">
        <v>620</v>
      </c>
      <c r="F249" s="18" t="s">
        <v>117</v>
      </c>
      <c r="G249" s="19">
        <v>654.71</v>
      </c>
      <c r="H249" s="19">
        <v>712.92</v>
      </c>
      <c r="I249" s="19">
        <v>713</v>
      </c>
      <c r="J249" s="19">
        <v>712.92</v>
      </c>
      <c r="K249" s="19">
        <v>713</v>
      </c>
      <c r="L249" s="19"/>
      <c r="M249" s="19"/>
      <c r="N249" s="19">
        <v>116</v>
      </c>
      <c r="O249" s="19"/>
      <c r="P249" s="19">
        <f>K249+SUM(L249:O249)</f>
        <v>829</v>
      </c>
      <c r="Q249" s="19">
        <v>129.31</v>
      </c>
      <c r="R249" s="20">
        <f>Q249/$P249</f>
        <v>0.15598311218335345</v>
      </c>
      <c r="S249" s="19">
        <v>408.91</v>
      </c>
      <c r="T249" s="20">
        <f>S249/$P249</f>
        <v>0.49325693606755128</v>
      </c>
      <c r="U249" s="19">
        <v>618.61</v>
      </c>
      <c r="V249" s="20">
        <f>U249/$P249</f>
        <v>0.74621230398069971</v>
      </c>
      <c r="W249" s="19">
        <v>828.31</v>
      </c>
      <c r="X249" s="20">
        <f>W249/$P249</f>
        <v>0.99916767189384792</v>
      </c>
      <c r="Y249" s="19">
        <f>K249</f>
        <v>713</v>
      </c>
      <c r="Z249" s="19">
        <f>Y249</f>
        <v>713</v>
      </c>
    </row>
    <row r="250" spans="1:26" x14ac:dyDescent="0.25">
      <c r="A250" s="10">
        <v>5</v>
      </c>
      <c r="B250" s="10">
        <v>1</v>
      </c>
      <c r="C250" s="10">
        <v>3</v>
      </c>
      <c r="D250" s="7"/>
      <c r="E250" s="18">
        <v>630</v>
      </c>
      <c r="F250" s="18" t="s">
        <v>118</v>
      </c>
      <c r="G250" s="19">
        <v>11078.17</v>
      </c>
      <c r="H250" s="19">
        <v>12430.87</v>
      </c>
      <c r="I250" s="19">
        <v>13357</v>
      </c>
      <c r="J250" s="19">
        <v>12337.96</v>
      </c>
      <c r="K250" s="19">
        <v>12340</v>
      </c>
      <c r="L250" s="19"/>
      <c r="M250" s="19"/>
      <c r="N250" s="19">
        <v>330</v>
      </c>
      <c r="O250" s="19"/>
      <c r="P250" s="19">
        <f>K250+SUM(L250:O250)</f>
        <v>12670</v>
      </c>
      <c r="Q250" s="19">
        <v>1731.5</v>
      </c>
      <c r="R250" s="20">
        <f>Q250/$P250</f>
        <v>0.13666140489344908</v>
      </c>
      <c r="S250" s="19">
        <v>5895.5</v>
      </c>
      <c r="T250" s="20">
        <f>S250/$P250</f>
        <v>0.46531176006314129</v>
      </c>
      <c r="U250" s="19">
        <v>9074.0400000000009</v>
      </c>
      <c r="V250" s="20">
        <f>U250/$P250</f>
        <v>0.71618310970797161</v>
      </c>
      <c r="W250" s="19">
        <v>12581.27</v>
      </c>
      <c r="X250" s="20">
        <f>W250/$P250</f>
        <v>0.99299684293606949</v>
      </c>
      <c r="Y250" s="19">
        <f>K250</f>
        <v>12340</v>
      </c>
      <c r="Z250" s="19">
        <f>Y250</f>
        <v>12340</v>
      </c>
    </row>
    <row r="251" spans="1:26" x14ac:dyDescent="0.25">
      <c r="A251" s="10">
        <v>5</v>
      </c>
      <c r="B251" s="10">
        <v>1</v>
      </c>
      <c r="C251" s="10">
        <v>3</v>
      </c>
      <c r="D251" s="69" t="s">
        <v>97</v>
      </c>
      <c r="E251" s="21">
        <v>41</v>
      </c>
      <c r="F251" s="21" t="s">
        <v>56</v>
      </c>
      <c r="G251" s="22">
        <f t="shared" ref="G251:Q251" si="97">SUM(G249:G250)</f>
        <v>11732.880000000001</v>
      </c>
      <c r="H251" s="22">
        <f t="shared" si="97"/>
        <v>13143.79</v>
      </c>
      <c r="I251" s="22">
        <f t="shared" si="97"/>
        <v>14070</v>
      </c>
      <c r="J251" s="22">
        <f t="shared" si="97"/>
        <v>13050.88</v>
      </c>
      <c r="K251" s="22">
        <f t="shared" si="97"/>
        <v>13053</v>
      </c>
      <c r="L251" s="22">
        <f t="shared" si="97"/>
        <v>0</v>
      </c>
      <c r="M251" s="22">
        <f t="shared" si="97"/>
        <v>0</v>
      </c>
      <c r="N251" s="22">
        <f t="shared" si="97"/>
        <v>446</v>
      </c>
      <c r="O251" s="22">
        <f t="shared" si="97"/>
        <v>0</v>
      </c>
      <c r="P251" s="22">
        <f t="shared" si="97"/>
        <v>13499</v>
      </c>
      <c r="Q251" s="22">
        <f t="shared" si="97"/>
        <v>1860.81</v>
      </c>
      <c r="R251" s="23">
        <f>Q251/$P251</f>
        <v>0.13784798873990667</v>
      </c>
      <c r="S251" s="22">
        <f>SUM(S249:S250)</f>
        <v>6304.41</v>
      </c>
      <c r="T251" s="23">
        <f>S251/$P251</f>
        <v>0.46702792799466625</v>
      </c>
      <c r="U251" s="22">
        <f>SUM(U249:U250)</f>
        <v>9692.6500000000015</v>
      </c>
      <c r="V251" s="23">
        <f>U251/$P251</f>
        <v>0.71802726127861338</v>
      </c>
      <c r="W251" s="22">
        <f>SUM(W249:W250)</f>
        <v>13409.58</v>
      </c>
      <c r="X251" s="23">
        <f>W251/$P251</f>
        <v>0.99337580561523076</v>
      </c>
      <c r="Y251" s="22">
        <f>SUM(Y249:Y250)</f>
        <v>13053</v>
      </c>
      <c r="Z251" s="22">
        <f>SUM(Z249:Z250)</f>
        <v>13053</v>
      </c>
    </row>
    <row r="253" spans="1:26" x14ac:dyDescent="0.25">
      <c r="E253" s="44" t="s">
        <v>57</v>
      </c>
      <c r="F253" s="24" t="s">
        <v>133</v>
      </c>
      <c r="G253" s="45">
        <v>8301.2900000000009</v>
      </c>
      <c r="H253" s="45">
        <v>9054.99</v>
      </c>
      <c r="I253" s="45">
        <v>9317</v>
      </c>
      <c r="J253" s="45">
        <v>9317</v>
      </c>
      <c r="K253" s="45">
        <v>9300</v>
      </c>
      <c r="L253" s="45">
        <v>226</v>
      </c>
      <c r="M253" s="45"/>
      <c r="N253" s="45"/>
      <c r="O253" s="45"/>
      <c r="P253" s="45">
        <f>K253+SUM(L253:O253)</f>
        <v>9526</v>
      </c>
      <c r="Q253" s="45">
        <v>1115.8499999999999</v>
      </c>
      <c r="R253" s="46">
        <f>Q253/$P253</f>
        <v>0.11713730841906361</v>
      </c>
      <c r="S253" s="45">
        <v>4479.8500000000004</v>
      </c>
      <c r="T253" s="46">
        <f>S253/$P253</f>
        <v>0.470276086500105</v>
      </c>
      <c r="U253" s="45">
        <v>7002.85</v>
      </c>
      <c r="V253" s="46">
        <f>U253/$P253</f>
        <v>0.73513017006088599</v>
      </c>
      <c r="W253" s="45">
        <v>9525.85</v>
      </c>
      <c r="X253" s="47">
        <f>W253/$P253</f>
        <v>0.9999842536216671</v>
      </c>
      <c r="Y253" s="45">
        <f>K253</f>
        <v>9300</v>
      </c>
      <c r="Z253" s="48">
        <f>Y253</f>
        <v>9300</v>
      </c>
    </row>
    <row r="254" spans="1:26" x14ac:dyDescent="0.25">
      <c r="E254" s="57"/>
      <c r="F254" s="70" t="s">
        <v>184</v>
      </c>
      <c r="G254" s="59">
        <v>2020</v>
      </c>
      <c r="H254" s="59">
        <v>2040</v>
      </c>
      <c r="I254" s="59">
        <v>2040</v>
      </c>
      <c r="J254" s="59">
        <v>2040</v>
      </c>
      <c r="K254" s="59">
        <v>2040</v>
      </c>
      <c r="L254" s="59"/>
      <c r="M254" s="59"/>
      <c r="N254" s="59">
        <v>330</v>
      </c>
      <c r="O254" s="59"/>
      <c r="P254" s="59">
        <f>K254+SUM(L254:O254)</f>
        <v>2370</v>
      </c>
      <c r="Q254" s="59">
        <v>370</v>
      </c>
      <c r="R254" s="60">
        <f>Q254/$P254</f>
        <v>0.15611814345991562</v>
      </c>
      <c r="S254" s="59">
        <v>1170</v>
      </c>
      <c r="T254" s="60">
        <f>S254/$P254</f>
        <v>0.49367088607594939</v>
      </c>
      <c r="U254" s="59">
        <v>1770</v>
      </c>
      <c r="V254" s="60">
        <f>U254/$P254</f>
        <v>0.74683544303797467</v>
      </c>
      <c r="W254" s="59">
        <v>2370</v>
      </c>
      <c r="X254" s="61">
        <f>W254/$P254</f>
        <v>1</v>
      </c>
      <c r="Y254" s="59">
        <f>K254</f>
        <v>2040</v>
      </c>
      <c r="Z254" s="62">
        <f>Y254</f>
        <v>2040</v>
      </c>
    </row>
    <row r="256" spans="1:26" x14ac:dyDescent="0.25">
      <c r="D256" s="65" t="s">
        <v>185</v>
      </c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6"/>
      <c r="S256" s="65"/>
      <c r="T256" s="66"/>
      <c r="U256" s="65"/>
      <c r="V256" s="66"/>
      <c r="W256" s="65"/>
      <c r="X256" s="66"/>
      <c r="Y256" s="65"/>
      <c r="Z256" s="65"/>
    </row>
    <row r="257" spans="1:26" x14ac:dyDescent="0.25">
      <c r="D257" s="16" t="s">
        <v>33</v>
      </c>
      <c r="E257" s="16" t="s">
        <v>34</v>
      </c>
      <c r="F257" s="16" t="s">
        <v>35</v>
      </c>
      <c r="G257" s="16" t="s">
        <v>1</v>
      </c>
      <c r="H257" s="16" t="s">
        <v>2</v>
      </c>
      <c r="I257" s="16" t="s">
        <v>3</v>
      </c>
      <c r="J257" s="16" t="s">
        <v>4</v>
      </c>
      <c r="K257" s="16" t="s">
        <v>5</v>
      </c>
      <c r="L257" s="16" t="s">
        <v>6</v>
      </c>
      <c r="M257" s="16" t="s">
        <v>7</v>
      </c>
      <c r="N257" s="16" t="s">
        <v>8</v>
      </c>
      <c r="O257" s="16" t="s">
        <v>9</v>
      </c>
      <c r="P257" s="16" t="s">
        <v>10</v>
      </c>
      <c r="Q257" s="16" t="s">
        <v>11</v>
      </c>
      <c r="R257" s="17" t="s">
        <v>12</v>
      </c>
      <c r="S257" s="16" t="s">
        <v>13</v>
      </c>
      <c r="T257" s="17" t="s">
        <v>14</v>
      </c>
      <c r="U257" s="16" t="s">
        <v>15</v>
      </c>
      <c r="V257" s="17" t="s">
        <v>16</v>
      </c>
      <c r="W257" s="16" t="s">
        <v>17</v>
      </c>
      <c r="X257" s="17" t="s">
        <v>18</v>
      </c>
      <c r="Y257" s="16" t="s">
        <v>19</v>
      </c>
      <c r="Z257" s="16" t="s">
        <v>20</v>
      </c>
    </row>
    <row r="258" spans="1:26" x14ac:dyDescent="0.25">
      <c r="A258" s="10">
        <v>5</v>
      </c>
      <c r="B258" s="10">
        <v>1</v>
      </c>
      <c r="C258" s="10">
        <v>4</v>
      </c>
      <c r="D258" s="40" t="s">
        <v>186</v>
      </c>
      <c r="E258" s="18">
        <v>630</v>
      </c>
      <c r="F258" s="18" t="s">
        <v>118</v>
      </c>
      <c r="G258" s="19">
        <v>0</v>
      </c>
      <c r="H258" s="19">
        <v>0</v>
      </c>
      <c r="I258" s="19">
        <v>250</v>
      </c>
      <c r="J258" s="19">
        <v>305</v>
      </c>
      <c r="K258" s="19">
        <v>100</v>
      </c>
      <c r="L258" s="19"/>
      <c r="M258" s="19"/>
      <c r="N258" s="19"/>
      <c r="O258" s="19"/>
      <c r="P258" s="19">
        <f>K258+SUM(L258:O258)</f>
        <v>100</v>
      </c>
      <c r="Q258" s="19">
        <v>0</v>
      </c>
      <c r="R258" s="20">
        <f>Q258/$P258</f>
        <v>0</v>
      </c>
      <c r="S258" s="19">
        <v>55</v>
      </c>
      <c r="T258" s="20">
        <f>S258/$P258</f>
        <v>0.55000000000000004</v>
      </c>
      <c r="U258" s="19">
        <v>55</v>
      </c>
      <c r="V258" s="20">
        <f>U258/$P258</f>
        <v>0.55000000000000004</v>
      </c>
      <c r="W258" s="19">
        <v>55</v>
      </c>
      <c r="X258" s="20">
        <f>W258/$P258</f>
        <v>0.55000000000000004</v>
      </c>
      <c r="Y258" s="19">
        <f>K258</f>
        <v>100</v>
      </c>
      <c r="Z258" s="19">
        <f>Y258</f>
        <v>100</v>
      </c>
    </row>
    <row r="259" spans="1:26" x14ac:dyDescent="0.25">
      <c r="A259" s="10">
        <v>5</v>
      </c>
      <c r="B259" s="10">
        <v>1</v>
      </c>
      <c r="C259" s="10">
        <v>4</v>
      </c>
      <c r="D259" s="69" t="s">
        <v>97</v>
      </c>
      <c r="E259" s="21">
        <v>41</v>
      </c>
      <c r="F259" s="21" t="s">
        <v>56</v>
      </c>
      <c r="G259" s="22">
        <f t="shared" ref="G259:Q259" si="98">SUM(G258:G258)</f>
        <v>0</v>
      </c>
      <c r="H259" s="22">
        <f t="shared" si="98"/>
        <v>0</v>
      </c>
      <c r="I259" s="22">
        <f t="shared" si="98"/>
        <v>250</v>
      </c>
      <c r="J259" s="22">
        <f t="shared" si="98"/>
        <v>305</v>
      </c>
      <c r="K259" s="22">
        <f t="shared" si="98"/>
        <v>100</v>
      </c>
      <c r="L259" s="22">
        <f t="shared" si="98"/>
        <v>0</v>
      </c>
      <c r="M259" s="22">
        <f t="shared" si="98"/>
        <v>0</v>
      </c>
      <c r="N259" s="22">
        <f t="shared" si="98"/>
        <v>0</v>
      </c>
      <c r="O259" s="22">
        <f t="shared" si="98"/>
        <v>0</v>
      </c>
      <c r="P259" s="22">
        <f t="shared" si="98"/>
        <v>100</v>
      </c>
      <c r="Q259" s="22">
        <f t="shared" si="98"/>
        <v>0</v>
      </c>
      <c r="R259" s="23">
        <f>Q259/$P259</f>
        <v>0</v>
      </c>
      <c r="S259" s="22">
        <f>SUM(S258:S258)</f>
        <v>55</v>
      </c>
      <c r="T259" s="23">
        <f>S259/$P259</f>
        <v>0.55000000000000004</v>
      </c>
      <c r="U259" s="22">
        <f>SUM(U258:U258)</f>
        <v>55</v>
      </c>
      <c r="V259" s="23">
        <f>U259/$P259</f>
        <v>0.55000000000000004</v>
      </c>
      <c r="W259" s="22">
        <f>SUM(W258:W258)</f>
        <v>55</v>
      </c>
      <c r="X259" s="23">
        <f>W259/$P259</f>
        <v>0.55000000000000004</v>
      </c>
      <c r="Y259" s="22">
        <f>SUM(Y258:Y258)</f>
        <v>100</v>
      </c>
      <c r="Z259" s="22">
        <f>SUM(Z258:Z258)</f>
        <v>100</v>
      </c>
    </row>
    <row r="261" spans="1:26" x14ac:dyDescent="0.25">
      <c r="D261" s="35" t="s">
        <v>187</v>
      </c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6"/>
      <c r="S261" s="35"/>
      <c r="T261" s="36"/>
      <c r="U261" s="35"/>
      <c r="V261" s="36"/>
      <c r="W261" s="35"/>
      <c r="X261" s="36"/>
      <c r="Y261" s="35"/>
      <c r="Z261" s="35"/>
    </row>
    <row r="262" spans="1:26" x14ac:dyDescent="0.25">
      <c r="D262" s="93"/>
      <c r="E262" s="93"/>
      <c r="F262" s="93"/>
      <c r="G262" s="16" t="s">
        <v>1</v>
      </c>
      <c r="H262" s="16" t="s">
        <v>2</v>
      </c>
      <c r="I262" s="16" t="s">
        <v>3</v>
      </c>
      <c r="J262" s="16" t="s">
        <v>4</v>
      </c>
      <c r="K262" s="16" t="s">
        <v>5</v>
      </c>
      <c r="L262" s="16" t="s">
        <v>6</v>
      </c>
      <c r="M262" s="16" t="s">
        <v>7</v>
      </c>
      <c r="N262" s="16" t="s">
        <v>8</v>
      </c>
      <c r="O262" s="16" t="s">
        <v>9</v>
      </c>
      <c r="P262" s="16" t="s">
        <v>10</v>
      </c>
      <c r="Q262" s="16" t="s">
        <v>11</v>
      </c>
      <c r="R262" s="17" t="s">
        <v>12</v>
      </c>
      <c r="S262" s="16" t="s">
        <v>13</v>
      </c>
      <c r="T262" s="17" t="s">
        <v>14</v>
      </c>
      <c r="U262" s="16" t="s">
        <v>15</v>
      </c>
      <c r="V262" s="17" t="s">
        <v>16</v>
      </c>
      <c r="W262" s="16" t="s">
        <v>17</v>
      </c>
      <c r="X262" s="17" t="s">
        <v>18</v>
      </c>
      <c r="Y262" s="16" t="s">
        <v>19</v>
      </c>
      <c r="Z262" s="16" t="s">
        <v>20</v>
      </c>
    </row>
    <row r="263" spans="1:26" x14ac:dyDescent="0.25">
      <c r="A263" s="10">
        <v>5</v>
      </c>
      <c r="B263" s="10">
        <v>2</v>
      </c>
      <c r="D263" s="37" t="s">
        <v>21</v>
      </c>
      <c r="E263" s="18">
        <v>111</v>
      </c>
      <c r="F263" s="18" t="s">
        <v>99</v>
      </c>
      <c r="G263" s="19">
        <f t="shared" ref="G263:O263" si="99">G270+G290</f>
        <v>24532.38</v>
      </c>
      <c r="H263" s="19">
        <f t="shared" si="99"/>
        <v>17749.349999999999</v>
      </c>
      <c r="I263" s="19">
        <f t="shared" si="99"/>
        <v>22940</v>
      </c>
      <c r="J263" s="19">
        <f t="shared" si="99"/>
        <v>25239.919999999998</v>
      </c>
      <c r="K263" s="19">
        <f t="shared" si="99"/>
        <v>26328</v>
      </c>
      <c r="L263" s="19">
        <f t="shared" si="99"/>
        <v>0</v>
      </c>
      <c r="M263" s="19">
        <f t="shared" si="99"/>
        <v>0</v>
      </c>
      <c r="N263" s="19">
        <f t="shared" si="99"/>
        <v>0</v>
      </c>
      <c r="O263" s="19">
        <f t="shared" si="99"/>
        <v>8045</v>
      </c>
      <c r="P263" s="19">
        <f>K263+SUM(L263:O263)</f>
        <v>34373</v>
      </c>
      <c r="Q263" s="19">
        <f>Q270+Q290</f>
        <v>2126.17</v>
      </c>
      <c r="R263" s="20">
        <f>Q263/$P263</f>
        <v>6.1855817065720187E-2</v>
      </c>
      <c r="S263" s="19">
        <f>S270+S290</f>
        <v>4156.5200000000004</v>
      </c>
      <c r="T263" s="20">
        <f>S263/$P263</f>
        <v>0.12092398103162368</v>
      </c>
      <c r="U263" s="19">
        <f>U270+U290</f>
        <v>18940.37</v>
      </c>
      <c r="V263" s="20">
        <f>U263/$P263</f>
        <v>0.55102464143368335</v>
      </c>
      <c r="W263" s="19">
        <f>W270+W290</f>
        <v>37906.300000000003</v>
      </c>
      <c r="X263" s="20">
        <f>W263/$P263</f>
        <v>1.1027928897681321</v>
      </c>
      <c r="Y263" s="19">
        <f>Y270+Y290</f>
        <v>44438</v>
      </c>
      <c r="Z263" s="19">
        <f>Z270+Z290</f>
        <v>44438</v>
      </c>
    </row>
    <row r="264" spans="1:26" x14ac:dyDescent="0.25">
      <c r="A264" s="10">
        <v>5</v>
      </c>
      <c r="B264" s="10">
        <v>2</v>
      </c>
      <c r="D264" s="37" t="s">
        <v>21</v>
      </c>
      <c r="E264" s="18">
        <v>41</v>
      </c>
      <c r="F264" s="18" t="s">
        <v>23</v>
      </c>
      <c r="G264" s="19">
        <f>G273+G283+G295</f>
        <v>16388.989999999998</v>
      </c>
      <c r="H264" s="19">
        <f>H274+H283+H295</f>
        <v>63205.35</v>
      </c>
      <c r="I264" s="19">
        <f>I274+I283+I295</f>
        <v>28149</v>
      </c>
      <c r="J264" s="19">
        <f>J274+J283+J295</f>
        <v>27434.47</v>
      </c>
      <c r="K264" s="19">
        <f>K274+K283+K295</f>
        <v>28245</v>
      </c>
      <c r="L264" s="19">
        <f>L273+L282+L295</f>
        <v>0</v>
      </c>
      <c r="M264" s="19">
        <f>M273+M282+M295</f>
        <v>0</v>
      </c>
      <c r="N264" s="19">
        <f>N273+N282+N295</f>
        <v>7562</v>
      </c>
      <c r="O264" s="19">
        <f>O273+O282+O295</f>
        <v>10864</v>
      </c>
      <c r="P264" s="19">
        <f>K264+SUM(L264:O264)</f>
        <v>46671</v>
      </c>
      <c r="Q264" s="19">
        <f>Q274+Q283+Q295</f>
        <v>4063.7599999999998</v>
      </c>
      <c r="R264" s="20">
        <f>Q264/$P264</f>
        <v>8.7072486126288262E-2</v>
      </c>
      <c r="S264" s="19">
        <f>S274+S283+S295</f>
        <v>18261.46</v>
      </c>
      <c r="T264" s="20">
        <f>S264/$P264</f>
        <v>0.39128066679522616</v>
      </c>
      <c r="U264" s="19">
        <f>U274+U283+U295</f>
        <v>26643.85</v>
      </c>
      <c r="V264" s="20">
        <f>U264/$P264</f>
        <v>0.57088663195560407</v>
      </c>
      <c r="W264" s="19">
        <f>W274+W283+W295</f>
        <v>31630.62</v>
      </c>
      <c r="X264" s="20">
        <f>W264/$P264</f>
        <v>0.67773606736517322</v>
      </c>
      <c r="Y264" s="19">
        <f>Y274+Y283+Y295</f>
        <v>31985</v>
      </c>
      <c r="Z264" s="19">
        <f>Z274+Z283+Z295</f>
        <v>32033</v>
      </c>
    </row>
    <row r="265" spans="1:26" x14ac:dyDescent="0.25">
      <c r="D265" s="24"/>
      <c r="E265" s="25"/>
      <c r="F265" s="21" t="s">
        <v>31</v>
      </c>
      <c r="G265" s="22">
        <f t="shared" ref="G265:Q265" si="100">SUM(G264:G264)</f>
        <v>16388.989999999998</v>
      </c>
      <c r="H265" s="22">
        <f t="shared" si="100"/>
        <v>63205.35</v>
      </c>
      <c r="I265" s="22">
        <f t="shared" si="100"/>
        <v>28149</v>
      </c>
      <c r="J265" s="22">
        <f t="shared" si="100"/>
        <v>27434.47</v>
      </c>
      <c r="K265" s="22">
        <f t="shared" si="100"/>
        <v>28245</v>
      </c>
      <c r="L265" s="22">
        <f t="shared" si="100"/>
        <v>0</v>
      </c>
      <c r="M265" s="22">
        <f t="shared" si="100"/>
        <v>0</v>
      </c>
      <c r="N265" s="22">
        <f t="shared" si="100"/>
        <v>7562</v>
      </c>
      <c r="O265" s="22">
        <f t="shared" si="100"/>
        <v>10864</v>
      </c>
      <c r="P265" s="22">
        <f t="shared" si="100"/>
        <v>46671</v>
      </c>
      <c r="Q265" s="22">
        <f t="shared" si="100"/>
        <v>4063.7599999999998</v>
      </c>
      <c r="R265" s="23">
        <f>Q265/$P265</f>
        <v>8.7072486126288262E-2</v>
      </c>
      <c r="S265" s="22">
        <f>SUM(S264:S264)</f>
        <v>18261.46</v>
      </c>
      <c r="T265" s="23">
        <f>S265/$P265</f>
        <v>0.39128066679522616</v>
      </c>
      <c r="U265" s="22">
        <f>SUM(U264:U264)</f>
        <v>26643.85</v>
      </c>
      <c r="V265" s="23">
        <f>U265/$P265</f>
        <v>0.57088663195560407</v>
      </c>
      <c r="W265" s="22">
        <f>SUM(W264:W264)</f>
        <v>31630.62</v>
      </c>
      <c r="X265" s="23">
        <f>W265/$P265</f>
        <v>0.67773606736517322</v>
      </c>
      <c r="Y265" s="22">
        <f>SUM(Y264:Y264)</f>
        <v>31985</v>
      </c>
      <c r="Z265" s="22">
        <f>SUM(Z264:Z264)</f>
        <v>32033</v>
      </c>
    </row>
    <row r="267" spans="1:26" x14ac:dyDescent="0.25">
      <c r="D267" s="65" t="s">
        <v>188</v>
      </c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6"/>
      <c r="S267" s="65"/>
      <c r="T267" s="66"/>
      <c r="U267" s="65"/>
      <c r="V267" s="66"/>
      <c r="W267" s="65"/>
      <c r="X267" s="66"/>
      <c r="Y267" s="65"/>
      <c r="Z267" s="65"/>
    </row>
    <row r="268" spans="1:26" x14ac:dyDescent="0.25">
      <c r="D268" s="16" t="s">
        <v>33</v>
      </c>
      <c r="E268" s="16" t="s">
        <v>34</v>
      </c>
      <c r="F268" s="16" t="s">
        <v>35</v>
      </c>
      <c r="G268" s="16" t="s">
        <v>1</v>
      </c>
      <c r="H268" s="16" t="s">
        <v>2</v>
      </c>
      <c r="I268" s="16" t="s">
        <v>3</v>
      </c>
      <c r="J268" s="16" t="s">
        <v>4</v>
      </c>
      <c r="K268" s="16" t="s">
        <v>5</v>
      </c>
      <c r="L268" s="16" t="s">
        <v>6</v>
      </c>
      <c r="M268" s="16" t="s">
        <v>7</v>
      </c>
      <c r="N268" s="16" t="s">
        <v>8</v>
      </c>
      <c r="O268" s="16" t="s">
        <v>9</v>
      </c>
      <c r="P268" s="16" t="s">
        <v>10</v>
      </c>
      <c r="Q268" s="16" t="s">
        <v>11</v>
      </c>
      <c r="R268" s="17" t="s">
        <v>12</v>
      </c>
      <c r="S268" s="16" t="s">
        <v>13</v>
      </c>
      <c r="T268" s="17" t="s">
        <v>14</v>
      </c>
      <c r="U268" s="16" t="s">
        <v>15</v>
      </c>
      <c r="V268" s="17" t="s">
        <v>16</v>
      </c>
      <c r="W268" s="16" t="s">
        <v>17</v>
      </c>
      <c r="X268" s="17" t="s">
        <v>18</v>
      </c>
      <c r="Y268" s="16" t="s">
        <v>19</v>
      </c>
      <c r="Z268" s="16" t="s">
        <v>20</v>
      </c>
    </row>
    <row r="269" spans="1:26" x14ac:dyDescent="0.25">
      <c r="A269" s="10">
        <v>5</v>
      </c>
      <c r="B269" s="10">
        <v>2</v>
      </c>
      <c r="C269" s="10">
        <v>1</v>
      </c>
      <c r="D269" s="79" t="s">
        <v>189</v>
      </c>
      <c r="E269" s="18">
        <v>630</v>
      </c>
      <c r="F269" s="18" t="s">
        <v>118</v>
      </c>
      <c r="G269" s="19">
        <v>24532.38</v>
      </c>
      <c r="H269" s="19">
        <v>0</v>
      </c>
      <c r="I269" s="19">
        <v>0</v>
      </c>
      <c r="J269" s="19">
        <v>0</v>
      </c>
      <c r="K269" s="19">
        <v>0</v>
      </c>
      <c r="L269" s="19"/>
      <c r="M269" s="19"/>
      <c r="N269" s="19"/>
      <c r="O269" s="19"/>
      <c r="P269" s="19">
        <f>K269+SUM(L269:O269)</f>
        <v>0</v>
      </c>
      <c r="Q269" s="19">
        <v>0</v>
      </c>
      <c r="R269" s="20" t="e">
        <f t="shared" ref="R269:R274" si="101">Q269/$P269</f>
        <v>#DIV/0!</v>
      </c>
      <c r="S269" s="19">
        <v>0</v>
      </c>
      <c r="T269" s="20" t="e">
        <f t="shared" ref="T269:T274" si="102">S269/$P269</f>
        <v>#DIV/0!</v>
      </c>
      <c r="U269" s="19">
        <v>0</v>
      </c>
      <c r="V269" s="20" t="e">
        <f t="shared" ref="V269:V274" si="103">U269/$P269</f>
        <v>#DIV/0!</v>
      </c>
      <c r="W269" s="19">
        <v>0</v>
      </c>
      <c r="X269" s="20" t="e">
        <f t="shared" ref="X269:X274" si="104">W269/$P269</f>
        <v>#DIV/0!</v>
      </c>
      <c r="Y269" s="19">
        <v>0</v>
      </c>
      <c r="Z269" s="19">
        <v>0</v>
      </c>
    </row>
    <row r="270" spans="1:26" x14ac:dyDescent="0.25">
      <c r="A270" s="10">
        <v>5</v>
      </c>
      <c r="B270" s="10">
        <v>2</v>
      </c>
      <c r="C270" s="10">
        <v>1</v>
      </c>
      <c r="D270" s="94" t="s">
        <v>97</v>
      </c>
      <c r="E270" s="81">
        <v>111</v>
      </c>
      <c r="F270" s="81" t="s">
        <v>99</v>
      </c>
      <c r="G270" s="82">
        <f t="shared" ref="G270:Q270" si="105">SUM(G269)</f>
        <v>24532.38</v>
      </c>
      <c r="H270" s="82">
        <f t="shared" si="105"/>
        <v>0</v>
      </c>
      <c r="I270" s="82">
        <f t="shared" si="105"/>
        <v>0</v>
      </c>
      <c r="J270" s="82">
        <f t="shared" si="105"/>
        <v>0</v>
      </c>
      <c r="K270" s="82">
        <f t="shared" si="105"/>
        <v>0</v>
      </c>
      <c r="L270" s="82">
        <f t="shared" si="105"/>
        <v>0</v>
      </c>
      <c r="M270" s="82">
        <f t="shared" si="105"/>
        <v>0</v>
      </c>
      <c r="N270" s="82">
        <f t="shared" si="105"/>
        <v>0</v>
      </c>
      <c r="O270" s="82">
        <f t="shared" si="105"/>
        <v>0</v>
      </c>
      <c r="P270" s="82">
        <f t="shared" si="105"/>
        <v>0</v>
      </c>
      <c r="Q270" s="82">
        <f t="shared" si="105"/>
        <v>0</v>
      </c>
      <c r="R270" s="83" t="e">
        <f t="shared" si="101"/>
        <v>#DIV/0!</v>
      </c>
      <c r="S270" s="82">
        <f>SUM(S269)</f>
        <v>0</v>
      </c>
      <c r="T270" s="83" t="e">
        <f t="shared" si="102"/>
        <v>#DIV/0!</v>
      </c>
      <c r="U270" s="82">
        <f>SUM(U269)</f>
        <v>0</v>
      </c>
      <c r="V270" s="83" t="e">
        <f t="shared" si="103"/>
        <v>#DIV/0!</v>
      </c>
      <c r="W270" s="82">
        <f>SUM(W269)</f>
        <v>0</v>
      </c>
      <c r="X270" s="83" t="e">
        <f t="shared" si="104"/>
        <v>#DIV/0!</v>
      </c>
      <c r="Y270" s="82">
        <f>SUM(Y269)</f>
        <v>0</v>
      </c>
      <c r="Z270" s="82">
        <f>SUM(Z269)</f>
        <v>0</v>
      </c>
    </row>
    <row r="271" spans="1:26" x14ac:dyDescent="0.25">
      <c r="A271" s="10">
        <v>5</v>
      </c>
      <c r="B271" s="10">
        <v>2</v>
      </c>
      <c r="C271" s="10">
        <v>1</v>
      </c>
      <c r="D271" s="1" t="s">
        <v>189</v>
      </c>
      <c r="E271" s="18">
        <v>630</v>
      </c>
      <c r="F271" s="18" t="s">
        <v>118</v>
      </c>
      <c r="G271" s="19">
        <v>11807.13</v>
      </c>
      <c r="H271" s="19">
        <v>41754.86</v>
      </c>
      <c r="I271" s="19">
        <v>12500</v>
      </c>
      <c r="J271" s="19">
        <v>14295.99</v>
      </c>
      <c r="K271" s="19">
        <v>15100</v>
      </c>
      <c r="L271" s="19"/>
      <c r="M271" s="19"/>
      <c r="N271" s="19"/>
      <c r="O271" s="19"/>
      <c r="P271" s="19">
        <f>K271+SUM(L271:O271)</f>
        <v>15100</v>
      </c>
      <c r="Q271" s="19">
        <v>694.88</v>
      </c>
      <c r="R271" s="20">
        <f t="shared" si="101"/>
        <v>4.6018543046357614E-2</v>
      </c>
      <c r="S271" s="19">
        <v>1712.08</v>
      </c>
      <c r="T271" s="20">
        <f t="shared" si="102"/>
        <v>0.11338278145695364</v>
      </c>
      <c r="U271" s="19">
        <v>3049.29</v>
      </c>
      <c r="V271" s="20">
        <f t="shared" si="103"/>
        <v>0.20193973509933774</v>
      </c>
      <c r="W271" s="19">
        <v>3959.21</v>
      </c>
      <c r="X271" s="20">
        <f t="shared" si="104"/>
        <v>0.26219933774834436</v>
      </c>
      <c r="Y271" s="19">
        <f>K271</f>
        <v>15100</v>
      </c>
      <c r="Z271" s="19">
        <f>Y271</f>
        <v>15100</v>
      </c>
    </row>
    <row r="272" spans="1:26" x14ac:dyDescent="0.25">
      <c r="A272" s="10">
        <v>5</v>
      </c>
      <c r="B272" s="10">
        <v>2</v>
      </c>
      <c r="C272" s="10">
        <v>1</v>
      </c>
      <c r="D272" s="1"/>
      <c r="E272" s="18">
        <v>640</v>
      </c>
      <c r="F272" s="18" t="s">
        <v>119</v>
      </c>
      <c r="G272" s="19">
        <v>0</v>
      </c>
      <c r="H272" s="19">
        <v>2800</v>
      </c>
      <c r="I272" s="19">
        <v>0</v>
      </c>
      <c r="J272" s="19">
        <v>0</v>
      </c>
      <c r="K272" s="19">
        <v>0</v>
      </c>
      <c r="L272" s="19"/>
      <c r="M272" s="19"/>
      <c r="N272" s="19"/>
      <c r="O272" s="19"/>
      <c r="P272" s="19">
        <f>K272+SUM(L272:O272)</f>
        <v>0</v>
      </c>
      <c r="Q272" s="19">
        <v>0</v>
      </c>
      <c r="R272" s="20" t="e">
        <f t="shared" si="101"/>
        <v>#DIV/0!</v>
      </c>
      <c r="S272" s="19">
        <v>0</v>
      </c>
      <c r="T272" s="20" t="e">
        <f t="shared" si="102"/>
        <v>#DIV/0!</v>
      </c>
      <c r="U272" s="19">
        <v>0</v>
      </c>
      <c r="V272" s="20" t="e">
        <f t="shared" si="103"/>
        <v>#DIV/0!</v>
      </c>
      <c r="W272" s="19">
        <v>0</v>
      </c>
      <c r="X272" s="20" t="e">
        <f t="shared" si="104"/>
        <v>#DIV/0!</v>
      </c>
      <c r="Y272" s="19">
        <v>0</v>
      </c>
      <c r="Z272" s="19">
        <v>0</v>
      </c>
    </row>
    <row r="273" spans="1:26" x14ac:dyDescent="0.25">
      <c r="A273" s="10">
        <v>5</v>
      </c>
      <c r="B273" s="10">
        <v>2</v>
      </c>
      <c r="C273" s="10">
        <v>1</v>
      </c>
      <c r="D273" s="94" t="s">
        <v>97</v>
      </c>
      <c r="E273" s="81">
        <v>41</v>
      </c>
      <c r="F273" s="81" t="s">
        <v>23</v>
      </c>
      <c r="G273" s="82">
        <f t="shared" ref="G273:Q273" si="106">SUM(G271:G272)</f>
        <v>11807.13</v>
      </c>
      <c r="H273" s="82">
        <f t="shared" si="106"/>
        <v>44554.86</v>
      </c>
      <c r="I273" s="82">
        <f t="shared" si="106"/>
        <v>12500</v>
      </c>
      <c r="J273" s="82">
        <f t="shared" si="106"/>
        <v>14295.99</v>
      </c>
      <c r="K273" s="82">
        <f t="shared" si="106"/>
        <v>15100</v>
      </c>
      <c r="L273" s="82">
        <f t="shared" si="106"/>
        <v>0</v>
      </c>
      <c r="M273" s="82">
        <f t="shared" si="106"/>
        <v>0</v>
      </c>
      <c r="N273" s="82">
        <f t="shared" si="106"/>
        <v>0</v>
      </c>
      <c r="O273" s="82">
        <f t="shared" si="106"/>
        <v>0</v>
      </c>
      <c r="P273" s="82">
        <f t="shared" si="106"/>
        <v>15100</v>
      </c>
      <c r="Q273" s="82">
        <f t="shared" si="106"/>
        <v>694.88</v>
      </c>
      <c r="R273" s="83">
        <f t="shared" si="101"/>
        <v>4.6018543046357614E-2</v>
      </c>
      <c r="S273" s="82">
        <f>SUM(S271:S272)</f>
        <v>1712.08</v>
      </c>
      <c r="T273" s="83">
        <f t="shared" si="102"/>
        <v>0.11338278145695364</v>
      </c>
      <c r="U273" s="82">
        <f>SUM(U271:U272)</f>
        <v>3049.29</v>
      </c>
      <c r="V273" s="83">
        <f t="shared" si="103"/>
        <v>0.20193973509933774</v>
      </c>
      <c r="W273" s="82">
        <f>SUM(W271:W272)</f>
        <v>3959.21</v>
      </c>
      <c r="X273" s="83">
        <f t="shared" si="104"/>
        <v>0.26219933774834436</v>
      </c>
      <c r="Y273" s="82">
        <f>SUM(Y271:Y272)</f>
        <v>15100</v>
      </c>
      <c r="Z273" s="82">
        <f>SUM(Z271:Z272)</f>
        <v>15100</v>
      </c>
    </row>
    <row r="274" spans="1:26" x14ac:dyDescent="0.25">
      <c r="D274" s="24"/>
      <c r="E274" s="25"/>
      <c r="F274" s="21" t="s">
        <v>31</v>
      </c>
      <c r="G274" s="22">
        <f t="shared" ref="G274:Q274" si="107">G270+G273</f>
        <v>36339.51</v>
      </c>
      <c r="H274" s="22">
        <f t="shared" si="107"/>
        <v>44554.86</v>
      </c>
      <c r="I274" s="22">
        <f t="shared" si="107"/>
        <v>12500</v>
      </c>
      <c r="J274" s="22">
        <f t="shared" si="107"/>
        <v>14295.99</v>
      </c>
      <c r="K274" s="22">
        <f t="shared" si="107"/>
        <v>15100</v>
      </c>
      <c r="L274" s="22">
        <f t="shared" si="107"/>
        <v>0</v>
      </c>
      <c r="M274" s="22">
        <f t="shared" si="107"/>
        <v>0</v>
      </c>
      <c r="N274" s="22">
        <f t="shared" si="107"/>
        <v>0</v>
      </c>
      <c r="O274" s="22">
        <f t="shared" si="107"/>
        <v>0</v>
      </c>
      <c r="P274" s="22">
        <f t="shared" si="107"/>
        <v>15100</v>
      </c>
      <c r="Q274" s="22">
        <f t="shared" si="107"/>
        <v>694.88</v>
      </c>
      <c r="R274" s="23">
        <f t="shared" si="101"/>
        <v>4.6018543046357614E-2</v>
      </c>
      <c r="S274" s="22">
        <f>S270+S273</f>
        <v>1712.08</v>
      </c>
      <c r="T274" s="23">
        <f t="shared" si="102"/>
        <v>0.11338278145695364</v>
      </c>
      <c r="U274" s="22">
        <f>U270+U273</f>
        <v>3049.29</v>
      </c>
      <c r="V274" s="23">
        <f t="shared" si="103"/>
        <v>0.20193973509933774</v>
      </c>
      <c r="W274" s="22">
        <f>W270+W273</f>
        <v>3959.21</v>
      </c>
      <c r="X274" s="23">
        <f t="shared" si="104"/>
        <v>0.26219933774834436</v>
      </c>
      <c r="Y274" s="22">
        <f>Y270+Y273</f>
        <v>15100</v>
      </c>
      <c r="Z274" s="22">
        <f>Z270+Z273</f>
        <v>15100</v>
      </c>
    </row>
    <row r="276" spans="1:26" x14ac:dyDescent="0.25">
      <c r="E276" s="44" t="s">
        <v>57</v>
      </c>
      <c r="F276" s="24" t="s">
        <v>190</v>
      </c>
      <c r="G276" s="45">
        <v>4428.6400000000003</v>
      </c>
      <c r="H276" s="45">
        <v>544.67999999999995</v>
      </c>
      <c r="I276" s="45">
        <v>4600</v>
      </c>
      <c r="J276" s="45">
        <v>1584.1</v>
      </c>
      <c r="K276" s="45">
        <v>4600</v>
      </c>
      <c r="L276" s="45"/>
      <c r="M276" s="45"/>
      <c r="N276" s="45"/>
      <c r="O276" s="45">
        <v>162</v>
      </c>
      <c r="P276" s="45">
        <f>K276+SUM(L276:O276)</f>
        <v>4762</v>
      </c>
      <c r="Q276" s="45">
        <v>231</v>
      </c>
      <c r="R276" s="46">
        <f>Q276/$P276</f>
        <v>4.850902981940361E-2</v>
      </c>
      <c r="S276" s="45">
        <f>228.24+231</f>
        <v>459.24</v>
      </c>
      <c r="T276" s="46">
        <f>S276/$P276</f>
        <v>9.643847123057539E-2</v>
      </c>
      <c r="U276" s="45">
        <v>459.24</v>
      </c>
      <c r="V276" s="46">
        <f>U276/$P276</f>
        <v>9.643847123057539E-2</v>
      </c>
      <c r="W276" s="45">
        <v>1104.3599999999999</v>
      </c>
      <c r="X276" s="47">
        <f>W276/$P276</f>
        <v>0.23191096178076437</v>
      </c>
      <c r="Y276" s="45">
        <f>K276</f>
        <v>4600</v>
      </c>
      <c r="Z276" s="48">
        <f>Y276</f>
        <v>4600</v>
      </c>
    </row>
    <row r="277" spans="1:26" x14ac:dyDescent="0.25">
      <c r="E277" s="49"/>
      <c r="F277" s="50" t="s">
        <v>191</v>
      </c>
      <c r="G277" s="51">
        <v>30854.74</v>
      </c>
      <c r="H277" s="51">
        <v>29609.74</v>
      </c>
      <c r="I277" s="51">
        <v>6600</v>
      </c>
      <c r="J277" s="51">
        <v>6791.76</v>
      </c>
      <c r="K277" s="51">
        <v>6700</v>
      </c>
      <c r="L277" s="51">
        <v>-400</v>
      </c>
      <c r="M277" s="51">
        <v>-434</v>
      </c>
      <c r="N277" s="51"/>
      <c r="O277" s="51">
        <v>-269</v>
      </c>
      <c r="P277" s="51">
        <f>K277+SUM(L277:O277)</f>
        <v>5597</v>
      </c>
      <c r="Q277" s="51">
        <v>0</v>
      </c>
      <c r="R277" s="11">
        <f>Q277/$P277</f>
        <v>0</v>
      </c>
      <c r="S277" s="51">
        <v>436.8</v>
      </c>
      <c r="T277" s="11">
        <f>S277/$P277</f>
        <v>7.8041808111488295E-2</v>
      </c>
      <c r="U277" s="51">
        <v>1415.59</v>
      </c>
      <c r="V277" s="11">
        <f>U277/$P277</f>
        <v>0.25291942111845628</v>
      </c>
      <c r="W277" s="51">
        <v>1415.59</v>
      </c>
      <c r="X277" s="52">
        <f>W277/$P277</f>
        <v>0.25291942111845628</v>
      </c>
      <c r="Y277" s="51">
        <f>K277</f>
        <v>6700</v>
      </c>
      <c r="Z277" s="53">
        <f>Y277</f>
        <v>6700</v>
      </c>
    </row>
    <row r="278" spans="1:26" x14ac:dyDescent="0.25">
      <c r="E278" s="57"/>
      <c r="F278" s="70" t="s">
        <v>192</v>
      </c>
      <c r="G278" s="59">
        <v>1236.1300000000001</v>
      </c>
      <c r="H278" s="59">
        <v>10960.44</v>
      </c>
      <c r="I278" s="59">
        <v>1300</v>
      </c>
      <c r="J278" s="59">
        <v>3727.48</v>
      </c>
      <c r="K278" s="59">
        <v>3700</v>
      </c>
      <c r="L278" s="59"/>
      <c r="M278" s="59"/>
      <c r="N278" s="59"/>
      <c r="O278" s="59"/>
      <c r="P278" s="59">
        <f>K278+SUM(L278:O278)</f>
        <v>3700</v>
      </c>
      <c r="Q278" s="59">
        <v>0</v>
      </c>
      <c r="R278" s="60">
        <f>Q278/$P278</f>
        <v>0</v>
      </c>
      <c r="S278" s="59">
        <v>0</v>
      </c>
      <c r="T278" s="60">
        <f>S278/$P278</f>
        <v>0</v>
      </c>
      <c r="U278" s="59">
        <v>358.42</v>
      </c>
      <c r="V278" s="60">
        <f>U278/$P278</f>
        <v>9.6870270270270273E-2</v>
      </c>
      <c r="W278" s="59">
        <v>358.42</v>
      </c>
      <c r="X278" s="61">
        <f>W278/$P278</f>
        <v>9.6870270270270273E-2</v>
      </c>
      <c r="Y278" s="59">
        <f>K278</f>
        <v>3700</v>
      </c>
      <c r="Z278" s="62">
        <f>Y278</f>
        <v>3700</v>
      </c>
    </row>
    <row r="279" spans="1:26" x14ac:dyDescent="0.25"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S279" s="51"/>
      <c r="U279" s="51"/>
      <c r="W279" s="51"/>
      <c r="Y279" s="51"/>
      <c r="Z279" s="51"/>
    </row>
    <row r="280" spans="1:26" x14ac:dyDescent="0.25">
      <c r="D280" s="65" t="s">
        <v>193</v>
      </c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6"/>
      <c r="S280" s="65"/>
      <c r="T280" s="66"/>
      <c r="U280" s="65"/>
      <c r="V280" s="66"/>
      <c r="W280" s="65"/>
      <c r="X280" s="66"/>
      <c r="Y280" s="65"/>
      <c r="Z280" s="65"/>
    </row>
    <row r="281" spans="1:26" x14ac:dyDescent="0.25">
      <c r="D281" s="16" t="s">
        <v>33</v>
      </c>
      <c r="E281" s="16" t="s">
        <v>34</v>
      </c>
      <c r="F281" s="16" t="s">
        <v>35</v>
      </c>
      <c r="G281" s="16" t="s">
        <v>1</v>
      </c>
      <c r="H281" s="16" t="s">
        <v>2</v>
      </c>
      <c r="I281" s="16" t="s">
        <v>3</v>
      </c>
      <c r="J281" s="16" t="s">
        <v>4</v>
      </c>
      <c r="K281" s="16" t="s">
        <v>5</v>
      </c>
      <c r="L281" s="16" t="s">
        <v>6</v>
      </c>
      <c r="M281" s="16" t="s">
        <v>7</v>
      </c>
      <c r="N281" s="16" t="s">
        <v>8</v>
      </c>
      <c r="O281" s="16" t="s">
        <v>9</v>
      </c>
      <c r="P281" s="16" t="s">
        <v>10</v>
      </c>
      <c r="Q281" s="16" t="s">
        <v>11</v>
      </c>
      <c r="R281" s="17" t="s">
        <v>12</v>
      </c>
      <c r="S281" s="16" t="s">
        <v>13</v>
      </c>
      <c r="T281" s="17" t="s">
        <v>14</v>
      </c>
      <c r="U281" s="16" t="s">
        <v>15</v>
      </c>
      <c r="V281" s="17" t="s">
        <v>16</v>
      </c>
      <c r="W281" s="16" t="s">
        <v>17</v>
      </c>
      <c r="X281" s="17" t="s">
        <v>18</v>
      </c>
      <c r="Y281" s="16" t="s">
        <v>19</v>
      </c>
      <c r="Z281" s="16" t="s">
        <v>20</v>
      </c>
    </row>
    <row r="282" spans="1:26" x14ac:dyDescent="0.25">
      <c r="A282" s="10">
        <v>5</v>
      </c>
      <c r="B282" s="10">
        <v>2</v>
      </c>
      <c r="C282" s="10">
        <v>2</v>
      </c>
      <c r="D282" s="40" t="s">
        <v>194</v>
      </c>
      <c r="E282" s="18">
        <v>630</v>
      </c>
      <c r="F282" s="18" t="s">
        <v>118</v>
      </c>
      <c r="G282" s="19">
        <v>4581.8599999999997</v>
      </c>
      <c r="H282" s="19">
        <v>971.53</v>
      </c>
      <c r="I282" s="19">
        <v>2050</v>
      </c>
      <c r="J282" s="19">
        <v>761.78</v>
      </c>
      <c r="K282" s="19">
        <v>1500</v>
      </c>
      <c r="L282" s="19"/>
      <c r="M282" s="19"/>
      <c r="N282" s="19"/>
      <c r="O282" s="19">
        <v>1844</v>
      </c>
      <c r="P282" s="19">
        <f>K282+SUM(L282:O282)</f>
        <v>3344</v>
      </c>
      <c r="Q282" s="19">
        <v>850</v>
      </c>
      <c r="R282" s="20">
        <f>Q282/$P282</f>
        <v>0.25418660287081341</v>
      </c>
      <c r="S282" s="19">
        <v>1090</v>
      </c>
      <c r="T282" s="20">
        <f>S282/$P282</f>
        <v>0.32595693779904306</v>
      </c>
      <c r="U282" s="19">
        <v>1090</v>
      </c>
      <c r="V282" s="20">
        <f>U282/$P282</f>
        <v>0.32595693779904306</v>
      </c>
      <c r="W282" s="19">
        <v>2933.5</v>
      </c>
      <c r="X282" s="20">
        <f>W282/$P282</f>
        <v>0.87724282296650713</v>
      </c>
      <c r="Y282" s="19">
        <f>K282</f>
        <v>1500</v>
      </c>
      <c r="Z282" s="19">
        <f>Y282</f>
        <v>1500</v>
      </c>
    </row>
    <row r="283" spans="1:26" x14ac:dyDescent="0.25">
      <c r="A283" s="10">
        <v>5</v>
      </c>
      <c r="B283" s="10">
        <v>2</v>
      </c>
      <c r="C283" s="10">
        <v>2</v>
      </c>
      <c r="D283" s="69" t="s">
        <v>97</v>
      </c>
      <c r="E283" s="21">
        <v>41</v>
      </c>
      <c r="F283" s="21" t="s">
        <v>56</v>
      </c>
      <c r="G283" s="22">
        <f t="shared" ref="G283:Q283" si="108">SUM(G282:G282)</f>
        <v>4581.8599999999997</v>
      </c>
      <c r="H283" s="22">
        <f t="shared" si="108"/>
        <v>971.53</v>
      </c>
      <c r="I283" s="22">
        <f t="shared" si="108"/>
        <v>2050</v>
      </c>
      <c r="J283" s="22">
        <f t="shared" si="108"/>
        <v>761.78</v>
      </c>
      <c r="K283" s="22">
        <f t="shared" si="108"/>
        <v>1500</v>
      </c>
      <c r="L283" s="22">
        <f t="shared" si="108"/>
        <v>0</v>
      </c>
      <c r="M283" s="22">
        <f t="shared" si="108"/>
        <v>0</v>
      </c>
      <c r="N283" s="22">
        <f t="shared" si="108"/>
        <v>0</v>
      </c>
      <c r="O283" s="22">
        <f t="shared" si="108"/>
        <v>1844</v>
      </c>
      <c r="P283" s="22">
        <f t="shared" si="108"/>
        <v>3344</v>
      </c>
      <c r="Q283" s="22">
        <f t="shared" si="108"/>
        <v>850</v>
      </c>
      <c r="R283" s="23">
        <f>Q283/$P283</f>
        <v>0.25418660287081341</v>
      </c>
      <c r="S283" s="22">
        <f>SUM(S282:S282)</f>
        <v>1090</v>
      </c>
      <c r="T283" s="23">
        <f>S283/$P283</f>
        <v>0.32595693779904306</v>
      </c>
      <c r="U283" s="22">
        <f>SUM(U282:U282)</f>
        <v>1090</v>
      </c>
      <c r="V283" s="23">
        <f>U283/$P283</f>
        <v>0.32595693779904306</v>
      </c>
      <c r="W283" s="22">
        <f>SUM(W282:W282)</f>
        <v>2933.5</v>
      </c>
      <c r="X283" s="23">
        <f>W283/$P283</f>
        <v>0.87724282296650713</v>
      </c>
      <c r="Y283" s="22">
        <f>SUM(Y282:Y282)</f>
        <v>1500</v>
      </c>
      <c r="Z283" s="22">
        <f>SUM(Z282:Z282)</f>
        <v>1500</v>
      </c>
    </row>
    <row r="285" spans="1:26" x14ac:dyDescent="0.25">
      <c r="D285" s="65" t="s">
        <v>195</v>
      </c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6"/>
      <c r="S285" s="65"/>
      <c r="T285" s="66"/>
      <c r="U285" s="65"/>
      <c r="V285" s="66"/>
      <c r="W285" s="65"/>
      <c r="X285" s="66"/>
      <c r="Y285" s="65"/>
      <c r="Z285" s="65"/>
    </row>
    <row r="286" spans="1:26" x14ac:dyDescent="0.25">
      <c r="D286" s="16" t="s">
        <v>33</v>
      </c>
      <c r="E286" s="16" t="s">
        <v>34</v>
      </c>
      <c r="F286" s="16" t="s">
        <v>35</v>
      </c>
      <c r="G286" s="16" t="s">
        <v>1</v>
      </c>
      <c r="H286" s="16" t="s">
        <v>2</v>
      </c>
      <c r="I286" s="16" t="s">
        <v>3</v>
      </c>
      <c r="J286" s="16" t="s">
        <v>4</v>
      </c>
      <c r="K286" s="16" t="s">
        <v>5</v>
      </c>
      <c r="L286" s="16" t="s">
        <v>6</v>
      </c>
      <c r="M286" s="16" t="s">
        <v>7</v>
      </c>
      <c r="N286" s="16" t="s">
        <v>8</v>
      </c>
      <c r="O286" s="16" t="s">
        <v>9</v>
      </c>
      <c r="P286" s="16" t="s">
        <v>10</v>
      </c>
      <c r="Q286" s="16" t="s">
        <v>11</v>
      </c>
      <c r="R286" s="17" t="s">
        <v>12</v>
      </c>
      <c r="S286" s="16" t="s">
        <v>13</v>
      </c>
      <c r="T286" s="17" t="s">
        <v>14</v>
      </c>
      <c r="U286" s="16" t="s">
        <v>15</v>
      </c>
      <c r="V286" s="17" t="s">
        <v>16</v>
      </c>
      <c r="W286" s="16" t="s">
        <v>17</v>
      </c>
      <c r="X286" s="17" t="s">
        <v>18</v>
      </c>
      <c r="Y286" s="16" t="s">
        <v>19</v>
      </c>
      <c r="Z286" s="16" t="s">
        <v>20</v>
      </c>
    </row>
    <row r="287" spans="1:26" x14ac:dyDescent="0.25">
      <c r="A287" s="10">
        <v>5</v>
      </c>
      <c r="B287" s="10">
        <v>2</v>
      </c>
      <c r="C287" s="10">
        <v>3</v>
      </c>
      <c r="D287" s="7" t="s">
        <v>194</v>
      </c>
      <c r="E287" s="18">
        <v>610</v>
      </c>
      <c r="F287" s="18" t="s">
        <v>116</v>
      </c>
      <c r="G287" s="19">
        <v>0</v>
      </c>
      <c r="H287" s="19">
        <v>13176.56</v>
      </c>
      <c r="I287" s="19">
        <v>17030</v>
      </c>
      <c r="J287" s="19">
        <v>18703.16</v>
      </c>
      <c r="K287" s="19">
        <v>19330</v>
      </c>
      <c r="L287" s="19"/>
      <c r="M287" s="19"/>
      <c r="N287" s="19"/>
      <c r="O287" s="19">
        <v>5602</v>
      </c>
      <c r="P287" s="19">
        <f>K287+SUM(L287:O287)</f>
        <v>24932</v>
      </c>
      <c r="Q287" s="19">
        <v>2126.17</v>
      </c>
      <c r="R287" s="20">
        <f t="shared" ref="R287:R296" si="109">Q287/$P287</f>
        <v>8.5278758222364831E-2</v>
      </c>
      <c r="S287" s="19">
        <v>2780</v>
      </c>
      <c r="T287" s="20">
        <f t="shared" ref="T287:T296" si="110">S287/$P287</f>
        <v>0.11150328894593294</v>
      </c>
      <c r="U287" s="19">
        <v>13697.66</v>
      </c>
      <c r="V287" s="20">
        <f t="shared" ref="V287:V296" si="111">U287/$P287</f>
        <v>0.54940077009465749</v>
      </c>
      <c r="W287" s="19">
        <v>27712.89</v>
      </c>
      <c r="X287" s="20">
        <f t="shared" ref="X287:X296" si="112">W287/$P287</f>
        <v>1.1115389860420344</v>
      </c>
      <c r="Y287" s="19">
        <v>25774</v>
      </c>
      <c r="Z287" s="19">
        <v>25774</v>
      </c>
    </row>
    <row r="288" spans="1:26" x14ac:dyDescent="0.25">
      <c r="A288" s="10">
        <v>5</v>
      </c>
      <c r="B288" s="10">
        <v>2</v>
      </c>
      <c r="C288" s="10">
        <v>3</v>
      </c>
      <c r="D288" s="7"/>
      <c r="E288" s="18">
        <v>620</v>
      </c>
      <c r="F288" s="18" t="s">
        <v>117</v>
      </c>
      <c r="G288" s="19">
        <v>0</v>
      </c>
      <c r="H288" s="19">
        <v>4572.79</v>
      </c>
      <c r="I288" s="19">
        <v>5910</v>
      </c>
      <c r="J288" s="19">
        <v>6536.76</v>
      </c>
      <c r="K288" s="19">
        <v>6998</v>
      </c>
      <c r="L288" s="19"/>
      <c r="M288" s="19"/>
      <c r="N288" s="19"/>
      <c r="O288" s="19">
        <v>2017</v>
      </c>
      <c r="P288" s="19">
        <f>K288+SUM(L288:O288)</f>
        <v>9015</v>
      </c>
      <c r="Q288" s="19">
        <v>0</v>
      </c>
      <c r="R288" s="20">
        <f t="shared" si="109"/>
        <v>0</v>
      </c>
      <c r="S288" s="19">
        <v>971.61</v>
      </c>
      <c r="T288" s="20">
        <f t="shared" si="110"/>
        <v>0.10777703826955075</v>
      </c>
      <c r="U288" s="19">
        <v>4837.8</v>
      </c>
      <c r="V288" s="20">
        <f t="shared" si="111"/>
        <v>0.53663893510815308</v>
      </c>
      <c r="W288" s="19">
        <v>9788.5</v>
      </c>
      <c r="X288" s="20">
        <f t="shared" si="112"/>
        <v>1.0858014420410427</v>
      </c>
      <c r="Y288" s="19">
        <v>9332</v>
      </c>
      <c r="Z288" s="19">
        <v>9332</v>
      </c>
    </row>
    <row r="289" spans="1:26" x14ac:dyDescent="0.25">
      <c r="A289" s="10">
        <v>5</v>
      </c>
      <c r="B289" s="10">
        <v>2</v>
      </c>
      <c r="C289" s="10">
        <v>3</v>
      </c>
      <c r="D289" s="7"/>
      <c r="E289" s="18">
        <v>630</v>
      </c>
      <c r="F289" s="18" t="s">
        <v>118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/>
      <c r="M289" s="19"/>
      <c r="N289" s="19"/>
      <c r="O289" s="19">
        <v>426</v>
      </c>
      <c r="P289" s="19">
        <f>K289+SUM(L289:O289)</f>
        <v>426</v>
      </c>
      <c r="Q289" s="19">
        <v>0</v>
      </c>
      <c r="R289" s="20">
        <f t="shared" si="109"/>
        <v>0</v>
      </c>
      <c r="S289" s="19">
        <v>404.91</v>
      </c>
      <c r="T289" s="20">
        <f t="shared" si="110"/>
        <v>0.95049295774647891</v>
      </c>
      <c r="U289" s="19">
        <v>404.91</v>
      </c>
      <c r="V289" s="20">
        <f t="shared" si="111"/>
        <v>0.95049295774647891</v>
      </c>
      <c r="W289" s="19">
        <v>404.91</v>
      </c>
      <c r="X289" s="20">
        <f t="shared" si="112"/>
        <v>0.95049295774647891</v>
      </c>
      <c r="Y289" s="19">
        <v>9332</v>
      </c>
      <c r="Z289" s="19">
        <v>9332</v>
      </c>
    </row>
    <row r="290" spans="1:26" x14ac:dyDescent="0.25">
      <c r="A290" s="10">
        <v>5</v>
      </c>
      <c r="B290" s="10">
        <v>2</v>
      </c>
      <c r="C290" s="10">
        <v>3</v>
      </c>
      <c r="D290" s="80" t="s">
        <v>97</v>
      </c>
      <c r="E290" s="95" t="s">
        <v>196</v>
      </c>
      <c r="F290" s="81" t="s">
        <v>197</v>
      </c>
      <c r="G290" s="82">
        <f t="shared" ref="G290:Q290" si="113">SUM(G287:G289)</f>
        <v>0</v>
      </c>
      <c r="H290" s="82">
        <f t="shared" si="113"/>
        <v>17749.349999999999</v>
      </c>
      <c r="I290" s="82">
        <f t="shared" si="113"/>
        <v>22940</v>
      </c>
      <c r="J290" s="82">
        <f t="shared" si="113"/>
        <v>25239.919999999998</v>
      </c>
      <c r="K290" s="82">
        <f t="shared" si="113"/>
        <v>26328</v>
      </c>
      <c r="L290" s="82">
        <f t="shared" si="113"/>
        <v>0</v>
      </c>
      <c r="M290" s="82">
        <f t="shared" si="113"/>
        <v>0</v>
      </c>
      <c r="N290" s="82">
        <f t="shared" si="113"/>
        <v>0</v>
      </c>
      <c r="O290" s="82">
        <f t="shared" si="113"/>
        <v>8045</v>
      </c>
      <c r="P290" s="82">
        <f t="shared" si="113"/>
        <v>34373</v>
      </c>
      <c r="Q290" s="82">
        <f t="shared" si="113"/>
        <v>2126.17</v>
      </c>
      <c r="R290" s="83">
        <f t="shared" si="109"/>
        <v>6.1855817065720187E-2</v>
      </c>
      <c r="S290" s="82">
        <f>SUM(S287:S289)</f>
        <v>4156.5200000000004</v>
      </c>
      <c r="T290" s="83">
        <f t="shared" si="110"/>
        <v>0.12092398103162368</v>
      </c>
      <c r="U290" s="82">
        <f>SUM(U287:U289)</f>
        <v>18940.37</v>
      </c>
      <c r="V290" s="83">
        <f t="shared" si="111"/>
        <v>0.55102464143368335</v>
      </c>
      <c r="W290" s="82">
        <f>SUM(W287:W289)</f>
        <v>37906.300000000003</v>
      </c>
      <c r="X290" s="83">
        <f t="shared" si="112"/>
        <v>1.1027928897681321</v>
      </c>
      <c r="Y290" s="82">
        <f>SUM(Y287:Y289)</f>
        <v>44438</v>
      </c>
      <c r="Z290" s="82">
        <f>SUM(Z287:Z289)</f>
        <v>44438</v>
      </c>
    </row>
    <row r="291" spans="1:26" x14ac:dyDescent="0.25">
      <c r="A291" s="10">
        <v>5</v>
      </c>
      <c r="B291" s="10">
        <v>2</v>
      </c>
      <c r="C291" s="10">
        <v>3</v>
      </c>
      <c r="D291" s="7" t="s">
        <v>194</v>
      </c>
      <c r="E291" s="18">
        <v>610</v>
      </c>
      <c r="F291" s="18" t="s">
        <v>116</v>
      </c>
      <c r="G291" s="19">
        <v>0</v>
      </c>
      <c r="H291" s="19">
        <v>11297.46</v>
      </c>
      <c r="I291" s="19">
        <v>7900</v>
      </c>
      <c r="J291" s="19">
        <v>7034.37</v>
      </c>
      <c r="K291" s="19">
        <v>6590</v>
      </c>
      <c r="L291" s="19"/>
      <c r="M291" s="19"/>
      <c r="N291" s="19">
        <v>3863</v>
      </c>
      <c r="O291" s="19">
        <v>6440</v>
      </c>
      <c r="P291" s="19">
        <f>K291+SUM(L291:O291)</f>
        <v>16893</v>
      </c>
      <c r="Q291" s="19">
        <v>1532.05</v>
      </c>
      <c r="R291" s="20">
        <f t="shared" si="109"/>
        <v>9.0691410643461784E-2</v>
      </c>
      <c r="S291" s="19">
        <v>9698</v>
      </c>
      <c r="T291" s="20">
        <f t="shared" si="110"/>
        <v>0.57408394009352981</v>
      </c>
      <c r="U291" s="19">
        <v>13984.51</v>
      </c>
      <c r="V291" s="20">
        <f t="shared" si="111"/>
        <v>0.82782868643816965</v>
      </c>
      <c r="W291" s="19">
        <v>14361.67</v>
      </c>
      <c r="X291" s="20">
        <f t="shared" si="112"/>
        <v>0.85015509382584498</v>
      </c>
      <c r="Y291" s="19">
        <v>8786</v>
      </c>
      <c r="Z291" s="19">
        <v>8786</v>
      </c>
    </row>
    <row r="292" spans="1:26" x14ac:dyDescent="0.25">
      <c r="A292" s="10">
        <v>5</v>
      </c>
      <c r="B292" s="10">
        <v>2</v>
      </c>
      <c r="C292" s="10">
        <v>3</v>
      </c>
      <c r="D292" s="7"/>
      <c r="E292" s="18">
        <v>620</v>
      </c>
      <c r="F292" s="18" t="s">
        <v>117</v>
      </c>
      <c r="G292" s="19">
        <v>0</v>
      </c>
      <c r="H292" s="19">
        <v>4209.9399999999996</v>
      </c>
      <c r="I292" s="19">
        <v>2803</v>
      </c>
      <c r="J292" s="19">
        <v>2496.7600000000002</v>
      </c>
      <c r="K292" s="19">
        <v>2061</v>
      </c>
      <c r="L292" s="19"/>
      <c r="M292" s="19"/>
      <c r="N292" s="19">
        <v>1402</v>
      </c>
      <c r="O292" s="19">
        <v>2203</v>
      </c>
      <c r="P292" s="19">
        <f>K292+SUM(L292:O292)</f>
        <v>5666</v>
      </c>
      <c r="Q292" s="19">
        <v>971.61</v>
      </c>
      <c r="R292" s="20">
        <f t="shared" si="109"/>
        <v>0.17148076244264032</v>
      </c>
      <c r="S292" s="19">
        <v>3522.96</v>
      </c>
      <c r="T292" s="20">
        <f t="shared" si="110"/>
        <v>0.62177197317331456</v>
      </c>
      <c r="U292" s="19">
        <v>4837.0200000000004</v>
      </c>
      <c r="V292" s="20">
        <f t="shared" si="111"/>
        <v>0.85369219908224503</v>
      </c>
      <c r="W292" s="19">
        <v>4903.17</v>
      </c>
      <c r="X292" s="20">
        <f t="shared" si="112"/>
        <v>0.8653671020120014</v>
      </c>
      <c r="Y292" s="19">
        <v>2747</v>
      </c>
      <c r="Z292" s="19">
        <v>2747</v>
      </c>
    </row>
    <row r="293" spans="1:26" x14ac:dyDescent="0.25">
      <c r="A293" s="10">
        <v>5</v>
      </c>
      <c r="B293" s="10">
        <v>2</v>
      </c>
      <c r="C293" s="10">
        <v>3</v>
      </c>
      <c r="D293" s="7"/>
      <c r="E293" s="18">
        <v>630</v>
      </c>
      <c r="F293" s="18" t="s">
        <v>118</v>
      </c>
      <c r="G293" s="19">
        <v>0</v>
      </c>
      <c r="H293" s="19">
        <v>2082.5700000000002</v>
      </c>
      <c r="I293" s="19">
        <v>2896</v>
      </c>
      <c r="J293" s="19">
        <v>2845.57</v>
      </c>
      <c r="K293" s="19">
        <v>2994</v>
      </c>
      <c r="L293" s="19"/>
      <c r="M293" s="19"/>
      <c r="N293" s="19">
        <v>2160</v>
      </c>
      <c r="O293" s="19">
        <v>377</v>
      </c>
      <c r="P293" s="19">
        <f>K293+SUM(L293:O293)</f>
        <v>5531</v>
      </c>
      <c r="Q293" s="19">
        <v>15.22</v>
      </c>
      <c r="R293" s="20">
        <f t="shared" si="109"/>
        <v>2.7517627915386008E-3</v>
      </c>
      <c r="S293" s="19">
        <v>2238.42</v>
      </c>
      <c r="T293" s="20">
        <f t="shared" si="110"/>
        <v>0.40470439341891162</v>
      </c>
      <c r="U293" s="19">
        <v>3651.48</v>
      </c>
      <c r="V293" s="20">
        <f t="shared" si="111"/>
        <v>0.66018441511480741</v>
      </c>
      <c r="W293" s="19">
        <v>5336.29</v>
      </c>
      <c r="X293" s="20">
        <f t="shared" si="112"/>
        <v>0.96479660097631526</v>
      </c>
      <c r="Y293" s="19">
        <v>3852</v>
      </c>
      <c r="Z293" s="19">
        <v>3900</v>
      </c>
    </row>
    <row r="294" spans="1:26" x14ac:dyDescent="0.25">
      <c r="A294" s="10">
        <v>5</v>
      </c>
      <c r="B294" s="10">
        <v>2</v>
      </c>
      <c r="C294" s="10">
        <v>3</v>
      </c>
      <c r="D294" s="7"/>
      <c r="E294" s="18">
        <v>640</v>
      </c>
      <c r="F294" s="18" t="s">
        <v>119</v>
      </c>
      <c r="G294" s="19">
        <v>0</v>
      </c>
      <c r="H294" s="19">
        <v>88.99</v>
      </c>
      <c r="I294" s="19">
        <v>0</v>
      </c>
      <c r="J294" s="19">
        <v>0</v>
      </c>
      <c r="K294" s="19">
        <v>0</v>
      </c>
      <c r="L294" s="19"/>
      <c r="M294" s="19"/>
      <c r="N294" s="19">
        <v>137</v>
      </c>
      <c r="O294" s="19"/>
      <c r="P294" s="19">
        <f>K294+SUM(L294:O294)</f>
        <v>137</v>
      </c>
      <c r="Q294" s="19">
        <v>0</v>
      </c>
      <c r="R294" s="20">
        <f t="shared" si="109"/>
        <v>0</v>
      </c>
      <c r="S294" s="19">
        <v>0</v>
      </c>
      <c r="T294" s="20">
        <f t="shared" si="110"/>
        <v>0</v>
      </c>
      <c r="U294" s="19">
        <v>31.55</v>
      </c>
      <c r="V294" s="20">
        <f t="shared" si="111"/>
        <v>0.23029197080291972</v>
      </c>
      <c r="W294" s="19">
        <v>136.78</v>
      </c>
      <c r="X294" s="20">
        <f t="shared" si="112"/>
        <v>0.99839416058394159</v>
      </c>
      <c r="Y294" s="19">
        <v>0</v>
      </c>
      <c r="Z294" s="19">
        <v>0</v>
      </c>
    </row>
    <row r="295" spans="1:26" x14ac:dyDescent="0.25">
      <c r="A295" s="10">
        <v>5</v>
      </c>
      <c r="B295" s="10">
        <v>2</v>
      </c>
      <c r="C295" s="10">
        <v>3</v>
      </c>
      <c r="D295" s="80" t="s">
        <v>97</v>
      </c>
      <c r="E295" s="81">
        <v>41</v>
      </c>
      <c r="F295" s="81" t="s">
        <v>56</v>
      </c>
      <c r="G295" s="82">
        <f t="shared" ref="G295:Q295" si="114">SUM(G291:G294)</f>
        <v>0</v>
      </c>
      <c r="H295" s="82">
        <f t="shared" si="114"/>
        <v>17678.96</v>
      </c>
      <c r="I295" s="82">
        <f t="shared" si="114"/>
        <v>13599</v>
      </c>
      <c r="J295" s="82">
        <f t="shared" si="114"/>
        <v>12376.7</v>
      </c>
      <c r="K295" s="82">
        <f t="shared" si="114"/>
        <v>11645</v>
      </c>
      <c r="L295" s="82">
        <f t="shared" si="114"/>
        <v>0</v>
      </c>
      <c r="M295" s="82">
        <f t="shared" si="114"/>
        <v>0</v>
      </c>
      <c r="N295" s="82">
        <f t="shared" si="114"/>
        <v>7562</v>
      </c>
      <c r="O295" s="82">
        <f t="shared" si="114"/>
        <v>9020</v>
      </c>
      <c r="P295" s="82">
        <f t="shared" si="114"/>
        <v>28227</v>
      </c>
      <c r="Q295" s="82">
        <f t="shared" si="114"/>
        <v>2518.8799999999997</v>
      </c>
      <c r="R295" s="83">
        <f t="shared" si="109"/>
        <v>8.9236546568887937E-2</v>
      </c>
      <c r="S295" s="82">
        <f>SUM(S291:S294)</f>
        <v>15459.38</v>
      </c>
      <c r="T295" s="83">
        <f t="shared" si="110"/>
        <v>0.54768058950650089</v>
      </c>
      <c r="U295" s="82">
        <f>SUM(U291:U294)</f>
        <v>22504.559999999998</v>
      </c>
      <c r="V295" s="83">
        <f t="shared" si="111"/>
        <v>0.79727069826761598</v>
      </c>
      <c r="W295" s="82">
        <f>SUM(W291:W294)</f>
        <v>24737.91</v>
      </c>
      <c r="X295" s="83">
        <f t="shared" si="112"/>
        <v>0.8763917525773196</v>
      </c>
      <c r="Y295" s="82">
        <f>SUM(Y291:Y294)</f>
        <v>15385</v>
      </c>
      <c r="Z295" s="82">
        <f>SUM(Z291:Z294)</f>
        <v>15433</v>
      </c>
    </row>
    <row r="296" spans="1:26" x14ac:dyDescent="0.25">
      <c r="D296" s="24"/>
      <c r="E296" s="25"/>
      <c r="F296" s="21" t="s">
        <v>31</v>
      </c>
      <c r="G296" s="22">
        <f t="shared" ref="G296:Q296" si="115">G290+G295</f>
        <v>0</v>
      </c>
      <c r="H296" s="22">
        <f t="shared" si="115"/>
        <v>35428.31</v>
      </c>
      <c r="I296" s="22">
        <f t="shared" si="115"/>
        <v>36539</v>
      </c>
      <c r="J296" s="22">
        <f t="shared" si="115"/>
        <v>37616.619999999995</v>
      </c>
      <c r="K296" s="22">
        <f t="shared" si="115"/>
        <v>37973</v>
      </c>
      <c r="L296" s="22">
        <f t="shared" si="115"/>
        <v>0</v>
      </c>
      <c r="M296" s="22">
        <f t="shared" si="115"/>
        <v>0</v>
      </c>
      <c r="N296" s="22">
        <f t="shared" si="115"/>
        <v>7562</v>
      </c>
      <c r="O296" s="22">
        <f t="shared" si="115"/>
        <v>17065</v>
      </c>
      <c r="P296" s="22">
        <f t="shared" si="115"/>
        <v>62600</v>
      </c>
      <c r="Q296" s="22">
        <f t="shared" si="115"/>
        <v>4645.0499999999993</v>
      </c>
      <c r="R296" s="23">
        <f t="shared" si="109"/>
        <v>7.4202076677316278E-2</v>
      </c>
      <c r="S296" s="22">
        <f>S290+S295</f>
        <v>19615.900000000001</v>
      </c>
      <c r="T296" s="23">
        <f t="shared" si="110"/>
        <v>0.31335303514377</v>
      </c>
      <c r="U296" s="22">
        <f>U290+U295</f>
        <v>41444.929999999993</v>
      </c>
      <c r="V296" s="23">
        <f t="shared" si="111"/>
        <v>0.66205958466453663</v>
      </c>
      <c r="W296" s="22">
        <f>W290+W295</f>
        <v>62644.210000000006</v>
      </c>
      <c r="X296" s="23">
        <f t="shared" si="112"/>
        <v>1.0007062300319489</v>
      </c>
      <c r="Y296" s="22">
        <f>Y290+Y295</f>
        <v>59823</v>
      </c>
      <c r="Z296" s="22">
        <f>Z290+Z295</f>
        <v>59871</v>
      </c>
    </row>
    <row r="298" spans="1:26" x14ac:dyDescent="0.25">
      <c r="D298" s="26" t="s">
        <v>198</v>
      </c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7"/>
      <c r="S298" s="26"/>
      <c r="T298" s="27"/>
      <c r="U298" s="26"/>
      <c r="V298" s="27"/>
      <c r="W298" s="26"/>
      <c r="X298" s="27"/>
      <c r="Y298" s="26"/>
      <c r="Z298" s="26"/>
    </row>
    <row r="299" spans="1:26" x14ac:dyDescent="0.25">
      <c r="D299" s="15"/>
      <c r="E299" s="15"/>
      <c r="F299" s="15"/>
      <c r="G299" s="16" t="s">
        <v>1</v>
      </c>
      <c r="H299" s="16" t="s">
        <v>2</v>
      </c>
      <c r="I299" s="16" t="s">
        <v>3</v>
      </c>
      <c r="J299" s="16" t="s">
        <v>4</v>
      </c>
      <c r="K299" s="16" t="s">
        <v>5</v>
      </c>
      <c r="L299" s="16" t="s">
        <v>6</v>
      </c>
      <c r="M299" s="16" t="s">
        <v>7</v>
      </c>
      <c r="N299" s="16" t="s">
        <v>8</v>
      </c>
      <c r="O299" s="16" t="s">
        <v>9</v>
      </c>
      <c r="P299" s="16" t="s">
        <v>10</v>
      </c>
      <c r="Q299" s="16" t="s">
        <v>11</v>
      </c>
      <c r="R299" s="17" t="s">
        <v>12</v>
      </c>
      <c r="S299" s="16" t="s">
        <v>13</v>
      </c>
      <c r="T299" s="17" t="s">
        <v>14</v>
      </c>
      <c r="U299" s="16" t="s">
        <v>15</v>
      </c>
      <c r="V299" s="17" t="s">
        <v>16</v>
      </c>
      <c r="W299" s="16" t="s">
        <v>17</v>
      </c>
      <c r="X299" s="17" t="s">
        <v>18</v>
      </c>
      <c r="Y299" s="16" t="s">
        <v>19</v>
      </c>
      <c r="Z299" s="16" t="s">
        <v>20</v>
      </c>
    </row>
    <row r="300" spans="1:26" x14ac:dyDescent="0.25">
      <c r="A300" s="10">
        <v>6</v>
      </c>
      <c r="D300" s="28" t="s">
        <v>21</v>
      </c>
      <c r="E300" s="29">
        <v>41</v>
      </c>
      <c r="F300" s="29" t="s">
        <v>23</v>
      </c>
      <c r="G300" s="30">
        <f t="shared" ref="G300:Q300" si="116">G306+G329+G362</f>
        <v>80268.350000000006</v>
      </c>
      <c r="H300" s="30">
        <f t="shared" si="116"/>
        <v>69040.48000000001</v>
      </c>
      <c r="I300" s="30">
        <f t="shared" si="116"/>
        <v>60970</v>
      </c>
      <c r="J300" s="30">
        <f t="shared" si="116"/>
        <v>50038.47</v>
      </c>
      <c r="K300" s="30">
        <f t="shared" si="116"/>
        <v>44400</v>
      </c>
      <c r="L300" s="30">
        <f t="shared" si="116"/>
        <v>165</v>
      </c>
      <c r="M300" s="30">
        <f t="shared" si="116"/>
        <v>269</v>
      </c>
      <c r="N300" s="30">
        <f t="shared" si="116"/>
        <v>-1850</v>
      </c>
      <c r="O300" s="30">
        <f t="shared" si="116"/>
        <v>0</v>
      </c>
      <c r="P300" s="30">
        <f t="shared" si="116"/>
        <v>42984</v>
      </c>
      <c r="Q300" s="30">
        <f t="shared" si="116"/>
        <v>5201.7299999999996</v>
      </c>
      <c r="R300" s="31">
        <f>Q300/$P300</f>
        <v>0.12101549413735342</v>
      </c>
      <c r="S300" s="30">
        <f>S306+S329+S362</f>
        <v>16956.400000000001</v>
      </c>
      <c r="T300" s="31">
        <f>S300/$P300</f>
        <v>0.39448166759724551</v>
      </c>
      <c r="U300" s="30">
        <f>U306+U329+U362</f>
        <v>27178.49</v>
      </c>
      <c r="V300" s="31">
        <f>U300/$P300</f>
        <v>0.63229317885724923</v>
      </c>
      <c r="W300" s="30">
        <f>W306+W329+W362</f>
        <v>34403.53</v>
      </c>
      <c r="X300" s="31">
        <f>W300/$P300</f>
        <v>0.80037990880327559</v>
      </c>
      <c r="Y300" s="30">
        <f>Y306+Y329+Y362</f>
        <v>37400</v>
      </c>
      <c r="Z300" s="30">
        <f>Z306+Z329+Z362</f>
        <v>37400</v>
      </c>
    </row>
    <row r="301" spans="1:26" x14ac:dyDescent="0.25">
      <c r="D301" s="24"/>
      <c r="E301" s="25"/>
      <c r="F301" s="32" t="s">
        <v>31</v>
      </c>
      <c r="G301" s="33">
        <f t="shared" ref="G301:Q301" si="117">SUM(G300:G300)</f>
        <v>80268.350000000006</v>
      </c>
      <c r="H301" s="33">
        <f t="shared" si="117"/>
        <v>69040.48000000001</v>
      </c>
      <c r="I301" s="33">
        <f t="shared" si="117"/>
        <v>60970</v>
      </c>
      <c r="J301" s="33">
        <f t="shared" si="117"/>
        <v>50038.47</v>
      </c>
      <c r="K301" s="33">
        <f t="shared" si="117"/>
        <v>44400</v>
      </c>
      <c r="L301" s="33">
        <f t="shared" si="117"/>
        <v>165</v>
      </c>
      <c r="M301" s="33">
        <f t="shared" si="117"/>
        <v>269</v>
      </c>
      <c r="N301" s="33">
        <f t="shared" si="117"/>
        <v>-1850</v>
      </c>
      <c r="O301" s="33">
        <f t="shared" si="117"/>
        <v>0</v>
      </c>
      <c r="P301" s="33">
        <f t="shared" si="117"/>
        <v>42984</v>
      </c>
      <c r="Q301" s="33">
        <f t="shared" si="117"/>
        <v>5201.7299999999996</v>
      </c>
      <c r="R301" s="34">
        <f>Q301/$P301</f>
        <v>0.12101549413735342</v>
      </c>
      <c r="S301" s="33">
        <f>SUM(S300:S300)</f>
        <v>16956.400000000001</v>
      </c>
      <c r="T301" s="34">
        <f>S301/$P301</f>
        <v>0.39448166759724551</v>
      </c>
      <c r="U301" s="33">
        <f>SUM(U300:U300)</f>
        <v>27178.49</v>
      </c>
      <c r="V301" s="34">
        <f>U301/$P301</f>
        <v>0.63229317885724923</v>
      </c>
      <c r="W301" s="33">
        <f>SUM(W300:W300)</f>
        <v>34403.53</v>
      </c>
      <c r="X301" s="34">
        <f>W301/$P301</f>
        <v>0.80037990880327559</v>
      </c>
      <c r="Y301" s="33">
        <f>SUM(Y300:Y300)</f>
        <v>37400</v>
      </c>
      <c r="Z301" s="33">
        <f>SUM(Z300:Z300)</f>
        <v>37400</v>
      </c>
    </row>
    <row r="303" spans="1:26" x14ac:dyDescent="0.25">
      <c r="D303" s="35" t="s">
        <v>199</v>
      </c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6"/>
      <c r="S303" s="35"/>
      <c r="T303" s="36"/>
      <c r="U303" s="35"/>
      <c r="V303" s="36"/>
      <c r="W303" s="35"/>
      <c r="X303" s="36"/>
      <c r="Y303" s="35"/>
      <c r="Z303" s="35"/>
    </row>
    <row r="304" spans="1:26" x14ac:dyDescent="0.25">
      <c r="D304" s="93"/>
      <c r="E304" s="93"/>
      <c r="F304" s="93"/>
      <c r="G304" s="16" t="s">
        <v>1</v>
      </c>
      <c r="H304" s="16" t="s">
        <v>2</v>
      </c>
      <c r="I304" s="16" t="s">
        <v>3</v>
      </c>
      <c r="J304" s="16" t="s">
        <v>4</v>
      </c>
      <c r="K304" s="16" t="s">
        <v>5</v>
      </c>
      <c r="L304" s="16" t="s">
        <v>6</v>
      </c>
      <c r="M304" s="16" t="s">
        <v>7</v>
      </c>
      <c r="N304" s="16" t="s">
        <v>8</v>
      </c>
      <c r="O304" s="16" t="s">
        <v>9</v>
      </c>
      <c r="P304" s="16" t="s">
        <v>10</v>
      </c>
      <c r="Q304" s="16" t="s">
        <v>11</v>
      </c>
      <c r="R304" s="17" t="s">
        <v>12</v>
      </c>
      <c r="S304" s="16" t="s">
        <v>13</v>
      </c>
      <c r="T304" s="17" t="s">
        <v>14</v>
      </c>
      <c r="U304" s="16" t="s">
        <v>15</v>
      </c>
      <c r="V304" s="17" t="s">
        <v>16</v>
      </c>
      <c r="W304" s="16" t="s">
        <v>17</v>
      </c>
      <c r="X304" s="17" t="s">
        <v>18</v>
      </c>
      <c r="Y304" s="16" t="s">
        <v>19</v>
      </c>
      <c r="Z304" s="16" t="s">
        <v>20</v>
      </c>
    </row>
    <row r="305" spans="1:26" x14ac:dyDescent="0.25">
      <c r="A305" s="10">
        <v>6</v>
      </c>
      <c r="B305" s="10">
        <v>1</v>
      </c>
      <c r="D305" s="37" t="s">
        <v>21</v>
      </c>
      <c r="E305" s="18">
        <v>41</v>
      </c>
      <c r="F305" s="18" t="s">
        <v>23</v>
      </c>
      <c r="G305" s="19">
        <f t="shared" ref="G305:Q305" si="118">G314+G319</f>
        <v>21520.240000000005</v>
      </c>
      <c r="H305" s="19">
        <f t="shared" si="118"/>
        <v>23331.760000000002</v>
      </c>
      <c r="I305" s="19">
        <f t="shared" si="118"/>
        <v>22144</v>
      </c>
      <c r="J305" s="19">
        <f t="shared" si="118"/>
        <v>23164.289999999997</v>
      </c>
      <c r="K305" s="19">
        <f t="shared" si="118"/>
        <v>11000</v>
      </c>
      <c r="L305" s="19">
        <f t="shared" si="118"/>
        <v>0</v>
      </c>
      <c r="M305" s="19">
        <f t="shared" si="118"/>
        <v>0</v>
      </c>
      <c r="N305" s="19">
        <f t="shared" si="118"/>
        <v>0</v>
      </c>
      <c r="O305" s="19">
        <f t="shared" si="118"/>
        <v>0</v>
      </c>
      <c r="P305" s="19">
        <f t="shared" si="118"/>
        <v>11000</v>
      </c>
      <c r="Q305" s="19">
        <f t="shared" si="118"/>
        <v>1515.13</v>
      </c>
      <c r="R305" s="20">
        <f>Q305/$P305</f>
        <v>0.13773909090909092</v>
      </c>
      <c r="S305" s="19">
        <f>S314+S319</f>
        <v>6830.59</v>
      </c>
      <c r="T305" s="20">
        <f>S305/$P305</f>
        <v>0.62096272727272728</v>
      </c>
      <c r="U305" s="19">
        <f>U314+U319</f>
        <v>9024.16</v>
      </c>
      <c r="V305" s="20">
        <f>U305/$P305</f>
        <v>0.82037818181818178</v>
      </c>
      <c r="W305" s="19">
        <f>W314+W319</f>
        <v>10380.959999999999</v>
      </c>
      <c r="X305" s="20">
        <f>W305/$P305</f>
        <v>0.94372363636363632</v>
      </c>
      <c r="Y305" s="19">
        <f>Y314+Y319</f>
        <v>8500</v>
      </c>
      <c r="Z305" s="19">
        <f>Z314+Z319</f>
        <v>8500</v>
      </c>
    </row>
    <row r="306" spans="1:26" x14ac:dyDescent="0.25">
      <c r="A306" s="10">
        <v>6</v>
      </c>
      <c r="B306" s="10">
        <v>1</v>
      </c>
      <c r="D306" s="24"/>
      <c r="E306" s="25"/>
      <c r="F306" s="21" t="s">
        <v>31</v>
      </c>
      <c r="G306" s="22">
        <f t="shared" ref="G306:Q306" si="119">SUM(G305:G305)</f>
        <v>21520.240000000005</v>
      </c>
      <c r="H306" s="22">
        <f t="shared" si="119"/>
        <v>23331.760000000002</v>
      </c>
      <c r="I306" s="22">
        <f t="shared" si="119"/>
        <v>22144</v>
      </c>
      <c r="J306" s="22">
        <f t="shared" si="119"/>
        <v>23164.289999999997</v>
      </c>
      <c r="K306" s="22">
        <f t="shared" si="119"/>
        <v>11000</v>
      </c>
      <c r="L306" s="22">
        <f t="shared" si="119"/>
        <v>0</v>
      </c>
      <c r="M306" s="22">
        <f t="shared" si="119"/>
        <v>0</v>
      </c>
      <c r="N306" s="22">
        <f t="shared" si="119"/>
        <v>0</v>
      </c>
      <c r="O306" s="22">
        <f t="shared" si="119"/>
        <v>0</v>
      </c>
      <c r="P306" s="22">
        <f t="shared" si="119"/>
        <v>11000</v>
      </c>
      <c r="Q306" s="22">
        <f t="shared" si="119"/>
        <v>1515.13</v>
      </c>
      <c r="R306" s="23">
        <f>Q306/$P306</f>
        <v>0.13773909090909092</v>
      </c>
      <c r="S306" s="22">
        <f>SUM(S305:S305)</f>
        <v>6830.59</v>
      </c>
      <c r="T306" s="23">
        <f>S306/$P306</f>
        <v>0.62096272727272728</v>
      </c>
      <c r="U306" s="22">
        <f>SUM(U305:U305)</f>
        <v>9024.16</v>
      </c>
      <c r="V306" s="23">
        <f>U306/$P306</f>
        <v>0.82037818181818178</v>
      </c>
      <c r="W306" s="22">
        <f>SUM(W305:W305)</f>
        <v>10380.959999999999</v>
      </c>
      <c r="X306" s="23">
        <f>W306/$P306</f>
        <v>0.94372363636363632</v>
      </c>
      <c r="Y306" s="22">
        <f>SUM(Y305:Y305)</f>
        <v>8500</v>
      </c>
      <c r="Z306" s="22">
        <f>SUM(Z305:Z305)</f>
        <v>8500</v>
      </c>
    </row>
    <row r="308" spans="1:26" x14ac:dyDescent="0.25">
      <c r="D308" s="65" t="s">
        <v>200</v>
      </c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6"/>
      <c r="S308" s="65"/>
      <c r="T308" s="66"/>
      <c r="U308" s="65"/>
      <c r="V308" s="66"/>
      <c r="W308" s="65"/>
      <c r="X308" s="66"/>
      <c r="Y308" s="65"/>
      <c r="Z308" s="65"/>
    </row>
    <row r="309" spans="1:26" x14ac:dyDescent="0.25">
      <c r="D309" s="16" t="s">
        <v>33</v>
      </c>
      <c r="E309" s="16" t="s">
        <v>34</v>
      </c>
      <c r="F309" s="16" t="s">
        <v>35</v>
      </c>
      <c r="G309" s="16" t="s">
        <v>1</v>
      </c>
      <c r="H309" s="16" t="s">
        <v>2</v>
      </c>
      <c r="I309" s="16" t="s">
        <v>3</v>
      </c>
      <c r="J309" s="16" t="s">
        <v>4</v>
      </c>
      <c r="K309" s="16" t="s">
        <v>5</v>
      </c>
      <c r="L309" s="16" t="s">
        <v>6</v>
      </c>
      <c r="M309" s="16" t="s">
        <v>7</v>
      </c>
      <c r="N309" s="16" t="s">
        <v>8</v>
      </c>
      <c r="O309" s="16" t="s">
        <v>9</v>
      </c>
      <c r="P309" s="16" t="s">
        <v>10</v>
      </c>
      <c r="Q309" s="16" t="s">
        <v>11</v>
      </c>
      <c r="R309" s="17" t="s">
        <v>12</v>
      </c>
      <c r="S309" s="16" t="s">
        <v>13</v>
      </c>
      <c r="T309" s="17" t="s">
        <v>14</v>
      </c>
      <c r="U309" s="16" t="s">
        <v>15</v>
      </c>
      <c r="V309" s="17" t="s">
        <v>16</v>
      </c>
      <c r="W309" s="16" t="s">
        <v>17</v>
      </c>
      <c r="X309" s="17" t="s">
        <v>18</v>
      </c>
      <c r="Y309" s="16" t="s">
        <v>19</v>
      </c>
      <c r="Z309" s="16" t="s">
        <v>20</v>
      </c>
    </row>
    <row r="310" spans="1:26" x14ac:dyDescent="0.25">
      <c r="A310" s="10">
        <v>6</v>
      </c>
      <c r="B310" s="10">
        <v>1</v>
      </c>
      <c r="C310" s="10">
        <v>1</v>
      </c>
      <c r="D310" s="7" t="s">
        <v>201</v>
      </c>
      <c r="E310" s="18">
        <v>610</v>
      </c>
      <c r="F310" s="18" t="s">
        <v>116</v>
      </c>
      <c r="G310" s="19">
        <v>5716.1</v>
      </c>
      <c r="H310" s="19">
        <v>7700.41</v>
      </c>
      <c r="I310" s="19">
        <v>2592</v>
      </c>
      <c r="J310" s="19">
        <v>2414.62</v>
      </c>
      <c r="K310" s="19">
        <v>0</v>
      </c>
      <c r="L310" s="19"/>
      <c r="M310" s="19"/>
      <c r="N310" s="19"/>
      <c r="O310" s="19"/>
      <c r="P310" s="19">
        <f>K310+SUM(L310:O310)</f>
        <v>0</v>
      </c>
      <c r="Q310" s="19">
        <v>0</v>
      </c>
      <c r="R310" s="20" t="e">
        <f>Q310/$P310</f>
        <v>#DIV/0!</v>
      </c>
      <c r="S310" s="19">
        <v>0</v>
      </c>
      <c r="T310" s="20" t="e">
        <f>S310/$P310</f>
        <v>#DIV/0!</v>
      </c>
      <c r="U310" s="19">
        <v>0</v>
      </c>
      <c r="V310" s="20" t="e">
        <f>U310/$P310</f>
        <v>#DIV/0!</v>
      </c>
      <c r="W310" s="19">
        <v>0</v>
      </c>
      <c r="X310" s="20" t="e">
        <f>W310/$P310</f>
        <v>#DIV/0!</v>
      </c>
      <c r="Y310" s="19">
        <f>K310</f>
        <v>0</v>
      </c>
      <c r="Z310" s="19">
        <f>Y310</f>
        <v>0</v>
      </c>
    </row>
    <row r="311" spans="1:26" x14ac:dyDescent="0.25">
      <c r="A311" s="10">
        <v>6</v>
      </c>
      <c r="B311" s="10">
        <v>1</v>
      </c>
      <c r="C311" s="10">
        <v>1</v>
      </c>
      <c r="D311" s="7"/>
      <c r="E311" s="18">
        <v>620</v>
      </c>
      <c r="F311" s="18" t="s">
        <v>117</v>
      </c>
      <c r="G311" s="19">
        <v>2646.21</v>
      </c>
      <c r="H311" s="19">
        <v>3208.26</v>
      </c>
      <c r="I311" s="19">
        <v>1751</v>
      </c>
      <c r="J311" s="19">
        <v>1550.51</v>
      </c>
      <c r="K311" s="19">
        <v>0</v>
      </c>
      <c r="L311" s="19"/>
      <c r="M311" s="19"/>
      <c r="N311" s="19">
        <v>109</v>
      </c>
      <c r="O311" s="19"/>
      <c r="P311" s="19">
        <f>K311+SUM(L311:O311)</f>
        <v>109</v>
      </c>
      <c r="Q311" s="19">
        <v>0</v>
      </c>
      <c r="R311" s="20">
        <f>Q311/$P311</f>
        <v>0</v>
      </c>
      <c r="S311" s="19">
        <v>0</v>
      </c>
      <c r="T311" s="20">
        <f>S311/$P311</f>
        <v>0</v>
      </c>
      <c r="U311" s="19">
        <v>108.36</v>
      </c>
      <c r="V311" s="20">
        <f>U311/$P311</f>
        <v>0.99412844036697245</v>
      </c>
      <c r="W311" s="19">
        <v>108.36</v>
      </c>
      <c r="X311" s="20">
        <f>W311/$P311</f>
        <v>0.99412844036697245</v>
      </c>
      <c r="Y311" s="19">
        <f>K311</f>
        <v>0</v>
      </c>
      <c r="Z311" s="19">
        <f>Y311</f>
        <v>0</v>
      </c>
    </row>
    <row r="312" spans="1:26" x14ac:dyDescent="0.25">
      <c r="A312" s="10">
        <v>6</v>
      </c>
      <c r="B312" s="10">
        <v>1</v>
      </c>
      <c r="C312" s="10">
        <v>1</v>
      </c>
      <c r="D312" s="7"/>
      <c r="E312" s="18">
        <v>630</v>
      </c>
      <c r="F312" s="18" t="s">
        <v>118</v>
      </c>
      <c r="G312" s="19">
        <v>8564.7800000000007</v>
      </c>
      <c r="H312" s="19">
        <v>9555.19</v>
      </c>
      <c r="I312" s="19">
        <v>12968</v>
      </c>
      <c r="J312" s="19">
        <v>14318.22</v>
      </c>
      <c r="K312" s="19">
        <f>1300+2500</f>
        <v>3800</v>
      </c>
      <c r="L312" s="19"/>
      <c r="M312" s="19"/>
      <c r="N312" s="19">
        <v>973</v>
      </c>
      <c r="O312" s="19">
        <v>200</v>
      </c>
      <c r="P312" s="19">
        <f>K312+SUM(L312:O312)</f>
        <v>4973</v>
      </c>
      <c r="Q312" s="19">
        <v>465.13</v>
      </c>
      <c r="R312" s="20">
        <f>Q312/$P312</f>
        <v>9.353106776593606E-2</v>
      </c>
      <c r="S312" s="19">
        <v>2662.8</v>
      </c>
      <c r="T312" s="20">
        <f>S312/$P312</f>
        <v>0.53545143776392523</v>
      </c>
      <c r="U312" s="19">
        <v>4248.01</v>
      </c>
      <c r="V312" s="20">
        <f>U312/$P312</f>
        <v>0.85421475970239291</v>
      </c>
      <c r="W312" s="19">
        <v>4964.8100000000004</v>
      </c>
      <c r="X312" s="20">
        <f>W312/$P312</f>
        <v>0.99835310677659372</v>
      </c>
      <c r="Y312" s="19">
        <v>1300</v>
      </c>
      <c r="Z312" s="19">
        <f>Y312</f>
        <v>1300</v>
      </c>
    </row>
    <row r="313" spans="1:26" x14ac:dyDescent="0.25">
      <c r="A313" s="10">
        <v>6</v>
      </c>
      <c r="B313" s="10">
        <v>1</v>
      </c>
      <c r="C313" s="10">
        <v>1</v>
      </c>
      <c r="D313" s="7"/>
      <c r="E313" s="18">
        <v>640</v>
      </c>
      <c r="F313" s="18" t="s">
        <v>119</v>
      </c>
      <c r="G313" s="19">
        <v>3320.95</v>
      </c>
      <c r="H313" s="19">
        <v>0</v>
      </c>
      <c r="I313" s="19">
        <v>1333</v>
      </c>
      <c r="J313" s="19">
        <v>1421.96</v>
      </c>
      <c r="K313" s="19">
        <v>4200</v>
      </c>
      <c r="L313" s="19"/>
      <c r="M313" s="19"/>
      <c r="N313" s="19">
        <v>-1082</v>
      </c>
      <c r="O313" s="19"/>
      <c r="P313" s="19">
        <f>K313+SUM(L313:O313)</f>
        <v>3118</v>
      </c>
      <c r="Q313" s="19">
        <v>0</v>
      </c>
      <c r="R313" s="20">
        <f>Q313/$P313</f>
        <v>0</v>
      </c>
      <c r="S313" s="19">
        <v>3117.79</v>
      </c>
      <c r="T313" s="20">
        <f>S313/$P313</f>
        <v>0.99993264913406033</v>
      </c>
      <c r="U313" s="19">
        <v>3117.79</v>
      </c>
      <c r="V313" s="20">
        <f>U313/$P313</f>
        <v>0.99993264913406033</v>
      </c>
      <c r="W313" s="19">
        <v>3117.79</v>
      </c>
      <c r="X313" s="20">
        <f>W313/$P313</f>
        <v>0.99993264913406033</v>
      </c>
      <c r="Y313" s="19">
        <f>K313</f>
        <v>4200</v>
      </c>
      <c r="Z313" s="19">
        <f>Y313</f>
        <v>4200</v>
      </c>
    </row>
    <row r="314" spans="1:26" x14ac:dyDescent="0.25">
      <c r="A314" s="10">
        <v>6</v>
      </c>
      <c r="B314" s="10">
        <v>1</v>
      </c>
      <c r="C314" s="10">
        <v>1</v>
      </c>
      <c r="D314" s="69" t="s">
        <v>97</v>
      </c>
      <c r="E314" s="21">
        <v>41</v>
      </c>
      <c r="F314" s="21" t="s">
        <v>56</v>
      </c>
      <c r="G314" s="22">
        <f t="shared" ref="G314:Q314" si="120">SUM(G310:G313)</f>
        <v>20248.040000000005</v>
      </c>
      <c r="H314" s="22">
        <f t="shared" si="120"/>
        <v>20463.86</v>
      </c>
      <c r="I314" s="22">
        <f t="shared" si="120"/>
        <v>18644</v>
      </c>
      <c r="J314" s="22">
        <f t="shared" si="120"/>
        <v>19705.309999999998</v>
      </c>
      <c r="K314" s="22">
        <f t="shared" si="120"/>
        <v>8000</v>
      </c>
      <c r="L314" s="22">
        <f t="shared" si="120"/>
        <v>0</v>
      </c>
      <c r="M314" s="22">
        <f t="shared" si="120"/>
        <v>0</v>
      </c>
      <c r="N314" s="22">
        <f t="shared" si="120"/>
        <v>0</v>
      </c>
      <c r="O314" s="22">
        <f t="shared" si="120"/>
        <v>200</v>
      </c>
      <c r="P314" s="22">
        <f t="shared" si="120"/>
        <v>8200</v>
      </c>
      <c r="Q314" s="22">
        <f t="shared" si="120"/>
        <v>465.13</v>
      </c>
      <c r="R314" s="23">
        <f>Q314/$P314</f>
        <v>5.6723170731707316E-2</v>
      </c>
      <c r="S314" s="22">
        <f>SUM(S310:S313)</f>
        <v>5780.59</v>
      </c>
      <c r="T314" s="23">
        <f>S314/$P314</f>
        <v>0.70494999999999997</v>
      </c>
      <c r="U314" s="22">
        <f>SUM(U310:U313)</f>
        <v>7474.16</v>
      </c>
      <c r="V314" s="23">
        <f>U314/$P314</f>
        <v>0.91148292682926824</v>
      </c>
      <c r="W314" s="22">
        <f>SUM(W310:W313)</f>
        <v>8190.96</v>
      </c>
      <c r="X314" s="23">
        <f>W314/$P314</f>
        <v>0.99889756097560978</v>
      </c>
      <c r="Y314" s="22">
        <f>SUM(Y310:Y313)</f>
        <v>5500</v>
      </c>
      <c r="Z314" s="22">
        <f>SUM(Z310:Z313)</f>
        <v>5500</v>
      </c>
    </row>
    <row r="316" spans="1:26" x14ac:dyDescent="0.25">
      <c r="D316" s="65" t="s">
        <v>202</v>
      </c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6"/>
      <c r="S316" s="65"/>
      <c r="T316" s="66"/>
      <c r="U316" s="65"/>
      <c r="V316" s="66"/>
      <c r="W316" s="65"/>
      <c r="X316" s="66"/>
      <c r="Y316" s="65"/>
      <c r="Z316" s="65"/>
    </row>
    <row r="317" spans="1:26" x14ac:dyDescent="0.25">
      <c r="D317" s="16" t="s">
        <v>33</v>
      </c>
      <c r="E317" s="16" t="s">
        <v>34</v>
      </c>
      <c r="F317" s="16" t="s">
        <v>35</v>
      </c>
      <c r="G317" s="16" t="s">
        <v>1</v>
      </c>
      <c r="H317" s="16" t="s">
        <v>2</v>
      </c>
      <c r="I317" s="16" t="s">
        <v>3</v>
      </c>
      <c r="J317" s="16" t="s">
        <v>4</v>
      </c>
      <c r="K317" s="16" t="s">
        <v>5</v>
      </c>
      <c r="L317" s="16" t="s">
        <v>6</v>
      </c>
      <c r="M317" s="16" t="s">
        <v>7</v>
      </c>
      <c r="N317" s="16" t="s">
        <v>8</v>
      </c>
      <c r="O317" s="16" t="s">
        <v>9</v>
      </c>
      <c r="P317" s="16" t="s">
        <v>10</v>
      </c>
      <c r="Q317" s="16" t="s">
        <v>11</v>
      </c>
      <c r="R317" s="17" t="s">
        <v>12</v>
      </c>
      <c r="S317" s="16" t="s">
        <v>13</v>
      </c>
      <c r="T317" s="17" t="s">
        <v>14</v>
      </c>
      <c r="U317" s="16" t="s">
        <v>15</v>
      </c>
      <c r="V317" s="17" t="s">
        <v>16</v>
      </c>
      <c r="W317" s="16" t="s">
        <v>17</v>
      </c>
      <c r="X317" s="17" t="s">
        <v>18</v>
      </c>
      <c r="Y317" s="16" t="s">
        <v>19</v>
      </c>
      <c r="Z317" s="16" t="s">
        <v>20</v>
      </c>
    </row>
    <row r="318" spans="1:26" x14ac:dyDescent="0.25">
      <c r="A318" s="10">
        <v>6</v>
      </c>
      <c r="B318" s="10">
        <v>1</v>
      </c>
      <c r="C318" s="10">
        <v>2</v>
      </c>
      <c r="D318" s="40" t="s">
        <v>201</v>
      </c>
      <c r="E318" s="18">
        <v>640</v>
      </c>
      <c r="F318" s="18" t="s">
        <v>119</v>
      </c>
      <c r="G318" s="19">
        <v>1272.2</v>
      </c>
      <c r="H318" s="19">
        <v>2867.9</v>
      </c>
      <c r="I318" s="19">
        <v>3500</v>
      </c>
      <c r="J318" s="19">
        <v>3458.98</v>
      </c>
      <c r="K318" s="19">
        <v>3000</v>
      </c>
      <c r="L318" s="19"/>
      <c r="M318" s="19"/>
      <c r="N318" s="19"/>
      <c r="O318" s="19">
        <v>-200</v>
      </c>
      <c r="P318" s="19">
        <f>K318+SUM(L318:O318)</f>
        <v>2800</v>
      </c>
      <c r="Q318" s="19">
        <v>1050</v>
      </c>
      <c r="R318" s="20">
        <f>Q318/$P318</f>
        <v>0.375</v>
      </c>
      <c r="S318" s="19">
        <v>1050</v>
      </c>
      <c r="T318" s="20">
        <f>S318/$P318</f>
        <v>0.375</v>
      </c>
      <c r="U318" s="19">
        <v>1550</v>
      </c>
      <c r="V318" s="20">
        <f>U318/$P318</f>
        <v>0.5535714285714286</v>
      </c>
      <c r="W318" s="19">
        <v>2190</v>
      </c>
      <c r="X318" s="20">
        <f>W318/$P318</f>
        <v>0.78214285714285714</v>
      </c>
      <c r="Y318" s="19">
        <v>3000</v>
      </c>
      <c r="Z318" s="19">
        <v>3000</v>
      </c>
    </row>
    <row r="319" spans="1:26" x14ac:dyDescent="0.25">
      <c r="A319" s="10">
        <v>6</v>
      </c>
      <c r="B319" s="10">
        <v>1</v>
      </c>
      <c r="C319" s="10">
        <v>2</v>
      </c>
      <c r="D319" s="69" t="s">
        <v>97</v>
      </c>
      <c r="E319" s="21">
        <v>41</v>
      </c>
      <c r="F319" s="21" t="s">
        <v>56</v>
      </c>
      <c r="G319" s="22">
        <f t="shared" ref="G319:Q319" si="121">SUM(G318:G318)</f>
        <v>1272.2</v>
      </c>
      <c r="H319" s="22">
        <f t="shared" si="121"/>
        <v>2867.9</v>
      </c>
      <c r="I319" s="22">
        <f t="shared" si="121"/>
        <v>3500</v>
      </c>
      <c r="J319" s="22">
        <f t="shared" si="121"/>
        <v>3458.98</v>
      </c>
      <c r="K319" s="22">
        <f t="shared" si="121"/>
        <v>3000</v>
      </c>
      <c r="L319" s="22">
        <f t="shared" si="121"/>
        <v>0</v>
      </c>
      <c r="M319" s="22">
        <f t="shared" si="121"/>
        <v>0</v>
      </c>
      <c r="N319" s="22">
        <f t="shared" si="121"/>
        <v>0</v>
      </c>
      <c r="O319" s="22">
        <f t="shared" si="121"/>
        <v>-200</v>
      </c>
      <c r="P319" s="22">
        <f t="shared" si="121"/>
        <v>2800</v>
      </c>
      <c r="Q319" s="22">
        <f t="shared" si="121"/>
        <v>1050</v>
      </c>
      <c r="R319" s="23">
        <f>Q319/$P319</f>
        <v>0.375</v>
      </c>
      <c r="S319" s="22">
        <f>SUM(S318:S318)</f>
        <v>1050</v>
      </c>
      <c r="T319" s="23">
        <f>S319/$P319</f>
        <v>0.375</v>
      </c>
      <c r="U319" s="22">
        <f>SUM(U318:U318)</f>
        <v>1550</v>
      </c>
      <c r="V319" s="23">
        <f>U319/$P319</f>
        <v>0.5535714285714286</v>
      </c>
      <c r="W319" s="22">
        <f>SUM(W318:W318)</f>
        <v>2190</v>
      </c>
      <c r="X319" s="23">
        <f>W319/$P319</f>
        <v>0.78214285714285714</v>
      </c>
      <c r="Y319" s="22">
        <f>SUM(Y318:Y318)</f>
        <v>3000</v>
      </c>
      <c r="Z319" s="22">
        <f>SUM(Z318:Z318)</f>
        <v>3000</v>
      </c>
    </row>
    <row r="321" spans="1:26" x14ac:dyDescent="0.25">
      <c r="E321" s="44" t="s">
        <v>57</v>
      </c>
      <c r="F321" s="24" t="s">
        <v>203</v>
      </c>
      <c r="G321" s="45">
        <v>1272.2</v>
      </c>
      <c r="H321" s="45">
        <v>2059.9</v>
      </c>
      <c r="I321" s="45">
        <v>1500</v>
      </c>
      <c r="J321" s="45">
        <v>1558.98</v>
      </c>
      <c r="K321" s="45">
        <v>1100</v>
      </c>
      <c r="L321" s="45"/>
      <c r="M321" s="45"/>
      <c r="N321" s="45"/>
      <c r="O321" s="45"/>
      <c r="P321" s="45">
        <f>K321+SUM(L321:O321)</f>
        <v>1100</v>
      </c>
      <c r="Q321" s="45">
        <v>600</v>
      </c>
      <c r="R321" s="46">
        <f>Q321/$P321</f>
        <v>0.54545454545454541</v>
      </c>
      <c r="S321" s="45">
        <v>600</v>
      </c>
      <c r="T321" s="46">
        <f>S321/$P321</f>
        <v>0.54545454545454541</v>
      </c>
      <c r="U321" s="45">
        <v>1100</v>
      </c>
      <c r="V321" s="46">
        <f>U321/$P321</f>
        <v>1</v>
      </c>
      <c r="W321" s="45">
        <v>1100</v>
      </c>
      <c r="X321" s="47">
        <f>W321/$P321</f>
        <v>1</v>
      </c>
      <c r="Y321" s="45"/>
      <c r="Z321" s="48"/>
    </row>
    <row r="322" spans="1:26" x14ac:dyDescent="0.25">
      <c r="E322" s="49"/>
      <c r="F322" s="50" t="s">
        <v>204</v>
      </c>
      <c r="G322" s="51"/>
      <c r="H322" s="51">
        <v>808</v>
      </c>
      <c r="I322" s="51">
        <v>1000</v>
      </c>
      <c r="J322" s="51">
        <v>900</v>
      </c>
      <c r="K322" s="51">
        <v>450</v>
      </c>
      <c r="L322" s="51"/>
      <c r="M322" s="51"/>
      <c r="N322" s="51"/>
      <c r="O322" s="51"/>
      <c r="P322" s="51">
        <f>K322+SUM(L322:O322)</f>
        <v>450</v>
      </c>
      <c r="Q322" s="51">
        <v>450</v>
      </c>
      <c r="R322" s="11">
        <f>Q322/$P322</f>
        <v>1</v>
      </c>
      <c r="S322" s="51">
        <v>450</v>
      </c>
      <c r="T322" s="11">
        <f>S322/$P322</f>
        <v>1</v>
      </c>
      <c r="U322" s="51">
        <v>450</v>
      </c>
      <c r="V322" s="11">
        <f>U322/$P322</f>
        <v>1</v>
      </c>
      <c r="W322" s="51">
        <v>450</v>
      </c>
      <c r="X322" s="52">
        <f>W322/$P322</f>
        <v>1</v>
      </c>
      <c r="Y322" s="51"/>
      <c r="Z322" s="53"/>
    </row>
    <row r="323" spans="1:26" x14ac:dyDescent="0.25">
      <c r="E323" s="49"/>
      <c r="F323" s="50" t="s">
        <v>205</v>
      </c>
      <c r="G323" s="51"/>
      <c r="H323" s="51"/>
      <c r="I323" s="51">
        <v>1000</v>
      </c>
      <c r="J323" s="51">
        <v>1000</v>
      </c>
      <c r="K323" s="51">
        <v>750</v>
      </c>
      <c r="L323" s="51"/>
      <c r="M323" s="51"/>
      <c r="N323" s="51"/>
      <c r="O323" s="51"/>
      <c r="P323" s="51">
        <f>K323+SUM(L323:O323)</f>
        <v>750</v>
      </c>
      <c r="Q323" s="51">
        <v>0</v>
      </c>
      <c r="R323" s="11">
        <f>Q323/$P323</f>
        <v>0</v>
      </c>
      <c r="S323" s="51">
        <v>0</v>
      </c>
      <c r="T323" s="11">
        <f>S323/$P323</f>
        <v>0</v>
      </c>
      <c r="U323" s="51">
        <v>0</v>
      </c>
      <c r="V323" s="11">
        <f>U323/$P323</f>
        <v>0</v>
      </c>
      <c r="W323" s="51">
        <v>640</v>
      </c>
      <c r="X323" s="52">
        <f>W323/$P323</f>
        <v>0.85333333333333339</v>
      </c>
      <c r="Y323" s="51"/>
      <c r="Z323" s="53"/>
    </row>
    <row r="324" spans="1:26" x14ac:dyDescent="0.25">
      <c r="E324" s="57"/>
      <c r="F324" s="70" t="s">
        <v>206</v>
      </c>
      <c r="G324" s="59"/>
      <c r="H324" s="59"/>
      <c r="I324" s="59"/>
      <c r="J324" s="59"/>
      <c r="K324" s="59">
        <v>700</v>
      </c>
      <c r="L324" s="59"/>
      <c r="M324" s="59"/>
      <c r="N324" s="59"/>
      <c r="O324" s="59">
        <v>-200</v>
      </c>
      <c r="P324" s="59">
        <f>K324+SUM(L324:O324)</f>
        <v>500</v>
      </c>
      <c r="Q324" s="59">
        <v>0</v>
      </c>
      <c r="R324" s="60">
        <f>Q324/$P324</f>
        <v>0</v>
      </c>
      <c r="S324" s="59">
        <v>0</v>
      </c>
      <c r="T324" s="60">
        <f>S324/$P324</f>
        <v>0</v>
      </c>
      <c r="U324" s="59">
        <v>0</v>
      </c>
      <c r="V324" s="60">
        <f>U324/$P324</f>
        <v>0</v>
      </c>
      <c r="W324" s="59">
        <v>0</v>
      </c>
      <c r="X324" s="61">
        <f>W324/$P324</f>
        <v>0</v>
      </c>
      <c r="Y324" s="59">
        <v>3000</v>
      </c>
      <c r="Z324" s="62">
        <v>3000</v>
      </c>
    </row>
    <row r="326" spans="1:26" x14ac:dyDescent="0.25">
      <c r="D326" s="35" t="s">
        <v>207</v>
      </c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6"/>
      <c r="S326" s="35"/>
      <c r="T326" s="36"/>
      <c r="U326" s="35"/>
      <c r="V326" s="36"/>
      <c r="W326" s="35"/>
      <c r="X326" s="36"/>
      <c r="Y326" s="35"/>
      <c r="Z326" s="35"/>
    </row>
    <row r="327" spans="1:26" x14ac:dyDescent="0.25">
      <c r="D327" s="93"/>
      <c r="E327" s="93"/>
      <c r="F327" s="93"/>
      <c r="G327" s="16" t="s">
        <v>1</v>
      </c>
      <c r="H327" s="16" t="s">
        <v>2</v>
      </c>
      <c r="I327" s="16" t="s">
        <v>3</v>
      </c>
      <c r="J327" s="16" t="s">
        <v>4</v>
      </c>
      <c r="K327" s="16" t="s">
        <v>5</v>
      </c>
      <c r="L327" s="16" t="s">
        <v>6</v>
      </c>
      <c r="M327" s="16" t="s">
        <v>7</v>
      </c>
      <c r="N327" s="16" t="s">
        <v>8</v>
      </c>
      <c r="O327" s="16" t="s">
        <v>9</v>
      </c>
      <c r="P327" s="16" t="s">
        <v>10</v>
      </c>
      <c r="Q327" s="16" t="s">
        <v>11</v>
      </c>
      <c r="R327" s="17" t="s">
        <v>12</v>
      </c>
      <c r="S327" s="16" t="s">
        <v>13</v>
      </c>
      <c r="T327" s="17" t="s">
        <v>14</v>
      </c>
      <c r="U327" s="16" t="s">
        <v>15</v>
      </c>
      <c r="V327" s="17" t="s">
        <v>16</v>
      </c>
      <c r="W327" s="16" t="s">
        <v>17</v>
      </c>
      <c r="X327" s="17" t="s">
        <v>18</v>
      </c>
      <c r="Y327" s="16" t="s">
        <v>19</v>
      </c>
      <c r="Z327" s="16" t="s">
        <v>20</v>
      </c>
    </row>
    <row r="328" spans="1:26" x14ac:dyDescent="0.25">
      <c r="A328" s="10">
        <v>6</v>
      </c>
      <c r="B328" s="10">
        <v>2</v>
      </c>
      <c r="D328" s="96" t="s">
        <v>21</v>
      </c>
      <c r="E328" s="97">
        <v>41</v>
      </c>
      <c r="F328" s="97" t="s">
        <v>23</v>
      </c>
      <c r="G328" s="19">
        <f t="shared" ref="G328:O328" si="122">G335+G346+G357</f>
        <v>49183.389999999992</v>
      </c>
      <c r="H328" s="19">
        <f t="shared" si="122"/>
        <v>37144</v>
      </c>
      <c r="I328" s="19">
        <f t="shared" si="122"/>
        <v>18761</v>
      </c>
      <c r="J328" s="19">
        <f t="shared" si="122"/>
        <v>16390.239999999998</v>
      </c>
      <c r="K328" s="19">
        <f t="shared" si="122"/>
        <v>24500</v>
      </c>
      <c r="L328" s="19">
        <f t="shared" si="122"/>
        <v>0</v>
      </c>
      <c r="M328" s="19">
        <f t="shared" si="122"/>
        <v>0</v>
      </c>
      <c r="N328" s="19">
        <f t="shared" si="122"/>
        <v>-1850</v>
      </c>
      <c r="O328" s="19">
        <f t="shared" si="122"/>
        <v>0</v>
      </c>
      <c r="P328" s="19">
        <f>K328+SUM(L328:O328)</f>
        <v>22650</v>
      </c>
      <c r="Q328" s="19">
        <f>Q335+Q346+Q357</f>
        <v>1754.24</v>
      </c>
      <c r="R328" s="20">
        <f>Q328/$P328</f>
        <v>7.7449889624724058E-2</v>
      </c>
      <c r="S328" s="19">
        <f>S335+S346+S357</f>
        <v>5174.74</v>
      </c>
      <c r="T328" s="20">
        <f>S328/$P328</f>
        <v>0.2284653421633554</v>
      </c>
      <c r="U328" s="19">
        <f>U335+U346+U357</f>
        <v>10670.900000000001</v>
      </c>
      <c r="V328" s="20">
        <f>U328/$P328</f>
        <v>0.47112141280353209</v>
      </c>
      <c r="W328" s="19">
        <f>W335+W346+W357</f>
        <v>15189.140000000001</v>
      </c>
      <c r="X328" s="20">
        <f>W328/$P328</f>
        <v>0.6706022075055188</v>
      </c>
      <c r="Y328" s="98">
        <f>Y335+Y346+Y357</f>
        <v>21000</v>
      </c>
      <c r="Z328" s="98">
        <f>Z335+Z346+Z357</f>
        <v>21000</v>
      </c>
    </row>
    <row r="329" spans="1:26" x14ac:dyDescent="0.25">
      <c r="A329" s="10">
        <v>6</v>
      </c>
      <c r="B329" s="10">
        <v>2</v>
      </c>
      <c r="D329" s="24"/>
      <c r="E329" s="25"/>
      <c r="F329" s="21" t="s">
        <v>31</v>
      </c>
      <c r="G329" s="22">
        <f t="shared" ref="G329:Q329" si="123">SUM(G328:G328)</f>
        <v>49183.389999999992</v>
      </c>
      <c r="H329" s="22">
        <f t="shared" si="123"/>
        <v>37144</v>
      </c>
      <c r="I329" s="22">
        <f t="shared" si="123"/>
        <v>18761</v>
      </c>
      <c r="J329" s="22">
        <f t="shared" si="123"/>
        <v>16390.239999999998</v>
      </c>
      <c r="K329" s="22">
        <f t="shared" si="123"/>
        <v>24500</v>
      </c>
      <c r="L329" s="22">
        <f t="shared" si="123"/>
        <v>0</v>
      </c>
      <c r="M329" s="22">
        <f t="shared" si="123"/>
        <v>0</v>
      </c>
      <c r="N329" s="22">
        <f t="shared" si="123"/>
        <v>-1850</v>
      </c>
      <c r="O329" s="22">
        <f t="shared" si="123"/>
        <v>0</v>
      </c>
      <c r="P329" s="22">
        <f t="shared" si="123"/>
        <v>22650</v>
      </c>
      <c r="Q329" s="22">
        <f t="shared" si="123"/>
        <v>1754.24</v>
      </c>
      <c r="R329" s="23">
        <f>Q329/$P329</f>
        <v>7.7449889624724058E-2</v>
      </c>
      <c r="S329" s="22">
        <f>SUM(S328:S328)</f>
        <v>5174.74</v>
      </c>
      <c r="T329" s="23">
        <f>S329/$P329</f>
        <v>0.2284653421633554</v>
      </c>
      <c r="U329" s="22">
        <f>SUM(U328:U328)</f>
        <v>10670.900000000001</v>
      </c>
      <c r="V329" s="23">
        <f>U329/$P329</f>
        <v>0.47112141280353209</v>
      </c>
      <c r="W329" s="22">
        <f>SUM(W328:W328)</f>
        <v>15189.140000000001</v>
      </c>
      <c r="X329" s="23">
        <f>W329/$P329</f>
        <v>0.6706022075055188</v>
      </c>
      <c r="Y329" s="22">
        <f>SUM(Y328:Y328)</f>
        <v>21000</v>
      </c>
      <c r="Z329" s="22">
        <f>SUM(Z328:Z328)</f>
        <v>21000</v>
      </c>
    </row>
    <row r="331" spans="1:26" x14ac:dyDescent="0.25">
      <c r="D331" s="65" t="s">
        <v>208</v>
      </c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6"/>
      <c r="S331" s="65"/>
      <c r="T331" s="66"/>
      <c r="U331" s="65"/>
      <c r="V331" s="66"/>
      <c r="W331" s="65"/>
      <c r="X331" s="66"/>
      <c r="Y331" s="65"/>
      <c r="Z331" s="65"/>
    </row>
    <row r="332" spans="1:26" x14ac:dyDescent="0.25">
      <c r="D332" s="16" t="s">
        <v>33</v>
      </c>
      <c r="E332" s="16" t="s">
        <v>34</v>
      </c>
      <c r="F332" s="16" t="s">
        <v>35</v>
      </c>
      <c r="G332" s="16" t="s">
        <v>1</v>
      </c>
      <c r="H332" s="16" t="s">
        <v>2</v>
      </c>
      <c r="I332" s="16" t="s">
        <v>3</v>
      </c>
      <c r="J332" s="16" t="s">
        <v>4</v>
      </c>
      <c r="K332" s="16" t="s">
        <v>5</v>
      </c>
      <c r="L332" s="16" t="s">
        <v>6</v>
      </c>
      <c r="M332" s="16" t="s">
        <v>7</v>
      </c>
      <c r="N332" s="16" t="s">
        <v>8</v>
      </c>
      <c r="O332" s="16" t="s">
        <v>9</v>
      </c>
      <c r="P332" s="16" t="s">
        <v>10</v>
      </c>
      <c r="Q332" s="16" t="s">
        <v>11</v>
      </c>
      <c r="R332" s="17" t="s">
        <v>12</v>
      </c>
      <c r="S332" s="16" t="s">
        <v>13</v>
      </c>
      <c r="T332" s="17" t="s">
        <v>14</v>
      </c>
      <c r="U332" s="16" t="s">
        <v>15</v>
      </c>
      <c r="V332" s="17" t="s">
        <v>16</v>
      </c>
      <c r="W332" s="16" t="s">
        <v>17</v>
      </c>
      <c r="X332" s="17" t="s">
        <v>18</v>
      </c>
      <c r="Y332" s="16" t="s">
        <v>19</v>
      </c>
      <c r="Z332" s="16" t="s">
        <v>20</v>
      </c>
    </row>
    <row r="333" spans="1:26" x14ac:dyDescent="0.25">
      <c r="A333" s="10">
        <v>6</v>
      </c>
      <c r="B333" s="10">
        <v>2</v>
      </c>
      <c r="C333" s="10">
        <v>1</v>
      </c>
      <c r="D333" s="7" t="s">
        <v>209</v>
      </c>
      <c r="E333" s="18">
        <v>620</v>
      </c>
      <c r="F333" s="18" t="s">
        <v>117</v>
      </c>
      <c r="G333" s="19">
        <v>846</v>
      </c>
      <c r="H333" s="19">
        <v>896.55</v>
      </c>
      <c r="I333" s="19">
        <v>458</v>
      </c>
      <c r="J333" s="19">
        <v>600.88</v>
      </c>
      <c r="K333" s="19">
        <v>452</v>
      </c>
      <c r="L333" s="19"/>
      <c r="M333" s="19"/>
      <c r="N333" s="19"/>
      <c r="O333" s="19"/>
      <c r="P333" s="19">
        <f>K333+SUM(L333:O333)</f>
        <v>452</v>
      </c>
      <c r="Q333" s="19">
        <v>75.44</v>
      </c>
      <c r="R333" s="20">
        <f>Q333/$P333</f>
        <v>0.16690265486725664</v>
      </c>
      <c r="S333" s="19">
        <v>226.32</v>
      </c>
      <c r="T333" s="20">
        <f>S333/$P333</f>
        <v>0.50070796460176992</v>
      </c>
      <c r="U333" s="19">
        <v>339.48</v>
      </c>
      <c r="V333" s="20">
        <f>U333/$P333</f>
        <v>0.75106194690265493</v>
      </c>
      <c r="W333" s="19">
        <v>452.64</v>
      </c>
      <c r="X333" s="20">
        <f>W333/$P333</f>
        <v>1.0014159292035398</v>
      </c>
      <c r="Y333" s="19">
        <f>K333</f>
        <v>452</v>
      </c>
      <c r="Z333" s="19">
        <f>Y333</f>
        <v>452</v>
      </c>
    </row>
    <row r="334" spans="1:26" x14ac:dyDescent="0.25">
      <c r="A334" s="10">
        <v>6</v>
      </c>
      <c r="B334" s="10">
        <v>2</v>
      </c>
      <c r="C334" s="10">
        <v>1</v>
      </c>
      <c r="D334" s="7"/>
      <c r="E334" s="18">
        <v>630</v>
      </c>
      <c r="F334" s="18" t="s">
        <v>118</v>
      </c>
      <c r="G334" s="19">
        <v>11690.74</v>
      </c>
      <c r="H334" s="19">
        <v>11438.25</v>
      </c>
      <c r="I334" s="19">
        <v>7818</v>
      </c>
      <c r="J334" s="19">
        <v>8012.75</v>
      </c>
      <c r="K334" s="19">
        <v>7848</v>
      </c>
      <c r="L334" s="19"/>
      <c r="M334" s="19"/>
      <c r="N334" s="19"/>
      <c r="O334" s="19"/>
      <c r="P334" s="19">
        <f>K334+SUM(L334:O334)</f>
        <v>7848</v>
      </c>
      <c r="Q334" s="19">
        <v>1154.22</v>
      </c>
      <c r="R334" s="20">
        <f>Q334/$P334</f>
        <v>0.14707186544342507</v>
      </c>
      <c r="S334" s="19">
        <v>2862.05</v>
      </c>
      <c r="T334" s="20">
        <f>S334/$P334</f>
        <v>0.36468527013251784</v>
      </c>
      <c r="U334" s="19">
        <v>4245.05</v>
      </c>
      <c r="V334" s="20">
        <f>U334/$P334</f>
        <v>0.54090851172273191</v>
      </c>
      <c r="W334" s="19">
        <v>5628.05</v>
      </c>
      <c r="X334" s="20">
        <f>W334/$P334</f>
        <v>0.71713175331294599</v>
      </c>
      <c r="Y334" s="19">
        <f>K334</f>
        <v>7848</v>
      </c>
      <c r="Z334" s="19">
        <f>Y334</f>
        <v>7848</v>
      </c>
    </row>
    <row r="335" spans="1:26" x14ac:dyDescent="0.25">
      <c r="A335" s="10">
        <v>6</v>
      </c>
      <c r="B335" s="10">
        <v>2</v>
      </c>
      <c r="C335" s="10">
        <v>1</v>
      </c>
      <c r="D335" s="69" t="s">
        <v>97</v>
      </c>
      <c r="E335" s="21">
        <v>41</v>
      </c>
      <c r="F335" s="21" t="s">
        <v>56</v>
      </c>
      <c r="G335" s="22">
        <f t="shared" ref="G335:Q335" si="124">SUM(G333:G334)</f>
        <v>12536.74</v>
      </c>
      <c r="H335" s="22">
        <f t="shared" si="124"/>
        <v>12334.8</v>
      </c>
      <c r="I335" s="22">
        <f t="shared" si="124"/>
        <v>8276</v>
      </c>
      <c r="J335" s="22">
        <f t="shared" si="124"/>
        <v>8613.6299999999992</v>
      </c>
      <c r="K335" s="22">
        <f t="shared" si="124"/>
        <v>8300</v>
      </c>
      <c r="L335" s="22">
        <f t="shared" si="124"/>
        <v>0</v>
      </c>
      <c r="M335" s="22">
        <f t="shared" si="124"/>
        <v>0</v>
      </c>
      <c r="N335" s="22">
        <f t="shared" si="124"/>
        <v>0</v>
      </c>
      <c r="O335" s="22">
        <f t="shared" si="124"/>
        <v>0</v>
      </c>
      <c r="P335" s="22">
        <f t="shared" si="124"/>
        <v>8300</v>
      </c>
      <c r="Q335" s="22">
        <f t="shared" si="124"/>
        <v>1229.6600000000001</v>
      </c>
      <c r="R335" s="23">
        <f>Q335/$P335</f>
        <v>0.14815180722891566</v>
      </c>
      <c r="S335" s="22">
        <f>SUM(S333:S334)</f>
        <v>3088.3700000000003</v>
      </c>
      <c r="T335" s="23">
        <f>S335/$P335</f>
        <v>0.37209277108433741</v>
      </c>
      <c r="U335" s="22">
        <f>SUM(U333:U334)</f>
        <v>4584.5300000000007</v>
      </c>
      <c r="V335" s="23">
        <f>U335/$P335</f>
        <v>0.55235301204819287</v>
      </c>
      <c r="W335" s="22">
        <f>SUM(W333:W334)</f>
        <v>6080.6900000000005</v>
      </c>
      <c r="X335" s="23">
        <f>W335/$P335</f>
        <v>0.73261325301204827</v>
      </c>
      <c r="Y335" s="22">
        <f>SUM(Y333:Y334)</f>
        <v>8300</v>
      </c>
      <c r="Z335" s="22">
        <f>SUM(Z333:Z334)</f>
        <v>8300</v>
      </c>
    </row>
    <row r="337" spans="1:26" x14ac:dyDescent="0.25">
      <c r="E337" s="44" t="s">
        <v>57</v>
      </c>
      <c r="F337" s="24" t="s">
        <v>133</v>
      </c>
      <c r="G337" s="45">
        <v>866.86</v>
      </c>
      <c r="H337" s="45">
        <v>1818.85</v>
      </c>
      <c r="I337" s="45">
        <v>1210</v>
      </c>
      <c r="J337" s="45">
        <v>1210</v>
      </c>
      <c r="K337" s="45">
        <v>1200</v>
      </c>
      <c r="L337" s="45">
        <v>-331</v>
      </c>
      <c r="M337" s="45"/>
      <c r="N337" s="45"/>
      <c r="O337" s="45"/>
      <c r="P337" s="45">
        <f>K337+SUM(L337:O337)</f>
        <v>869</v>
      </c>
      <c r="Q337" s="45">
        <v>79</v>
      </c>
      <c r="R337" s="46">
        <f>Q337/$P337</f>
        <v>9.0909090909090912E-2</v>
      </c>
      <c r="S337" s="45">
        <v>395</v>
      </c>
      <c r="T337" s="46">
        <f>S337/$P337</f>
        <v>0.45454545454545453</v>
      </c>
      <c r="U337" s="45">
        <v>632</v>
      </c>
      <c r="V337" s="46">
        <f>U337/$P337</f>
        <v>0.72727272727272729</v>
      </c>
      <c r="W337" s="45">
        <v>869</v>
      </c>
      <c r="X337" s="47">
        <f>W337/$P337</f>
        <v>1</v>
      </c>
      <c r="Y337" s="45">
        <f>K337</f>
        <v>1200</v>
      </c>
      <c r="Z337" s="48">
        <f>Y337</f>
        <v>1200</v>
      </c>
    </row>
    <row r="338" spans="1:26" x14ac:dyDescent="0.25">
      <c r="E338" s="49"/>
      <c r="F338" s="50" t="s">
        <v>134</v>
      </c>
      <c r="G338" s="51">
        <v>5223.01</v>
      </c>
      <c r="H338" s="51">
        <v>2280.16</v>
      </c>
      <c r="I338" s="51">
        <v>2928</v>
      </c>
      <c r="J338" s="51">
        <v>2932</v>
      </c>
      <c r="K338" s="51">
        <v>2900</v>
      </c>
      <c r="L338" s="51">
        <v>-821</v>
      </c>
      <c r="M338" s="51"/>
      <c r="N338" s="51"/>
      <c r="O338" s="51">
        <v>189</v>
      </c>
      <c r="P338" s="51">
        <f>K338+SUM(L338:O338)</f>
        <v>2268</v>
      </c>
      <c r="Q338" s="51">
        <v>567</v>
      </c>
      <c r="R338" s="11">
        <f>Q338/$P338</f>
        <v>0.25</v>
      </c>
      <c r="S338" s="51">
        <v>1134</v>
      </c>
      <c r="T338" s="11">
        <f>S338/$P338</f>
        <v>0.5</v>
      </c>
      <c r="U338" s="51">
        <v>1701</v>
      </c>
      <c r="V338" s="11">
        <f>U338/$P338</f>
        <v>0.75</v>
      </c>
      <c r="W338" s="51">
        <v>2268</v>
      </c>
      <c r="X338" s="52">
        <f>W338/$P338</f>
        <v>1</v>
      </c>
      <c r="Y338" s="51">
        <f>K338</f>
        <v>2900</v>
      </c>
      <c r="Z338" s="53">
        <f>Y338</f>
        <v>2900</v>
      </c>
    </row>
    <row r="339" spans="1:26" x14ac:dyDescent="0.25">
      <c r="E339" s="57"/>
      <c r="F339" s="70" t="s">
        <v>210</v>
      </c>
      <c r="G339" s="59">
        <v>5676.5</v>
      </c>
      <c r="H339" s="59">
        <v>5482.55</v>
      </c>
      <c r="I339" s="59">
        <v>3028</v>
      </c>
      <c r="J339" s="59">
        <v>3170.88</v>
      </c>
      <c r="K339" s="59">
        <v>2316</v>
      </c>
      <c r="L339" s="59"/>
      <c r="M339" s="59"/>
      <c r="N339" s="59"/>
      <c r="O339" s="59"/>
      <c r="P339" s="59">
        <f>K339+SUM(L339:O339)</f>
        <v>2316</v>
      </c>
      <c r="Q339" s="59">
        <v>386</v>
      </c>
      <c r="R339" s="60">
        <f>Q339/$P339</f>
        <v>0.16666666666666666</v>
      </c>
      <c r="S339" s="59">
        <v>1158</v>
      </c>
      <c r="T339" s="60">
        <f>S339/$P339</f>
        <v>0.5</v>
      </c>
      <c r="U339" s="59">
        <v>1737</v>
      </c>
      <c r="V339" s="60">
        <f>U339/$P339</f>
        <v>0.75</v>
      </c>
      <c r="W339" s="59">
        <v>2316</v>
      </c>
      <c r="X339" s="61">
        <f>W339/$P339</f>
        <v>1</v>
      </c>
      <c r="Y339" s="59">
        <f>K339</f>
        <v>2316</v>
      </c>
      <c r="Z339" s="62">
        <f>Y339</f>
        <v>2316</v>
      </c>
    </row>
    <row r="341" spans="1:26" x14ac:dyDescent="0.25">
      <c r="D341" s="65" t="s">
        <v>211</v>
      </c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6"/>
      <c r="S341" s="65"/>
      <c r="T341" s="66"/>
      <c r="U341" s="65"/>
      <c r="V341" s="66"/>
      <c r="W341" s="65"/>
      <c r="X341" s="66"/>
      <c r="Y341" s="65"/>
      <c r="Z341" s="65"/>
    </row>
    <row r="342" spans="1:26" x14ac:dyDescent="0.25">
      <c r="D342" s="16" t="s">
        <v>33</v>
      </c>
      <c r="E342" s="16" t="s">
        <v>34</v>
      </c>
      <c r="F342" s="16" t="s">
        <v>35</v>
      </c>
      <c r="G342" s="16" t="s">
        <v>1</v>
      </c>
      <c r="H342" s="16" t="s">
        <v>2</v>
      </c>
      <c r="I342" s="16" t="s">
        <v>3</v>
      </c>
      <c r="J342" s="16" t="s">
        <v>4</v>
      </c>
      <c r="K342" s="16" t="s">
        <v>5</v>
      </c>
      <c r="L342" s="16" t="s">
        <v>6</v>
      </c>
      <c r="M342" s="16" t="s">
        <v>7</v>
      </c>
      <c r="N342" s="16" t="s">
        <v>8</v>
      </c>
      <c r="O342" s="16" t="s">
        <v>9</v>
      </c>
      <c r="P342" s="16" t="s">
        <v>10</v>
      </c>
      <c r="Q342" s="16" t="s">
        <v>11</v>
      </c>
      <c r="R342" s="17" t="s">
        <v>12</v>
      </c>
      <c r="S342" s="16" t="s">
        <v>13</v>
      </c>
      <c r="T342" s="17" t="s">
        <v>14</v>
      </c>
      <c r="U342" s="16" t="s">
        <v>15</v>
      </c>
      <c r="V342" s="17" t="s">
        <v>16</v>
      </c>
      <c r="W342" s="16" t="s">
        <v>17</v>
      </c>
      <c r="X342" s="17" t="s">
        <v>18</v>
      </c>
      <c r="Y342" s="16" t="s">
        <v>19</v>
      </c>
      <c r="Z342" s="16" t="s">
        <v>20</v>
      </c>
    </row>
    <row r="343" spans="1:26" x14ac:dyDescent="0.25">
      <c r="A343" s="10">
        <v>6</v>
      </c>
      <c r="B343" s="10">
        <v>2</v>
      </c>
      <c r="C343" s="10">
        <v>2</v>
      </c>
      <c r="D343" s="7" t="s">
        <v>209</v>
      </c>
      <c r="E343" s="18">
        <v>620</v>
      </c>
      <c r="F343" s="18" t="s">
        <v>117</v>
      </c>
      <c r="G343" s="19">
        <v>170.96</v>
      </c>
      <c r="H343" s="19">
        <v>274.58999999999997</v>
      </c>
      <c r="I343" s="19">
        <v>0</v>
      </c>
      <c r="J343" s="19">
        <v>201.09</v>
      </c>
      <c r="K343" s="19">
        <v>0</v>
      </c>
      <c r="L343" s="19">
        <v>88</v>
      </c>
      <c r="M343" s="19">
        <v>30</v>
      </c>
      <c r="N343" s="19"/>
      <c r="O343" s="19">
        <v>19</v>
      </c>
      <c r="P343" s="19">
        <f>K343+SUM(L343:O343)</f>
        <v>137</v>
      </c>
      <c r="Q343" s="19">
        <v>45.24</v>
      </c>
      <c r="R343" s="20">
        <f>Q343/$P343</f>
        <v>0.33021897810218981</v>
      </c>
      <c r="S343" s="19">
        <v>115.53</v>
      </c>
      <c r="T343" s="20">
        <f>S343/$P343</f>
        <v>0.8432846715328467</v>
      </c>
      <c r="U343" s="19">
        <v>115.53</v>
      </c>
      <c r="V343" s="20">
        <f>U343/$P343</f>
        <v>0.8432846715328467</v>
      </c>
      <c r="W343" s="19">
        <v>143.57</v>
      </c>
      <c r="X343" s="20">
        <f>W343/$P343</f>
        <v>1.0479562043795621</v>
      </c>
      <c r="Y343" s="19">
        <f>K343</f>
        <v>0</v>
      </c>
      <c r="Z343" s="19">
        <f>Y343</f>
        <v>0</v>
      </c>
    </row>
    <row r="344" spans="1:26" x14ac:dyDescent="0.25">
      <c r="A344" s="10">
        <v>6</v>
      </c>
      <c r="B344" s="10">
        <v>2</v>
      </c>
      <c r="C344" s="10">
        <v>2</v>
      </c>
      <c r="D344" s="7"/>
      <c r="E344" s="18">
        <v>630</v>
      </c>
      <c r="F344" s="18" t="s">
        <v>118</v>
      </c>
      <c r="G344" s="19">
        <v>20434.8</v>
      </c>
      <c r="H344" s="19">
        <v>20349.11</v>
      </c>
      <c r="I344" s="19">
        <v>1750</v>
      </c>
      <c r="J344" s="19">
        <v>4058.5</v>
      </c>
      <c r="K344" s="19">
        <v>6500</v>
      </c>
      <c r="L344" s="19">
        <v>-88</v>
      </c>
      <c r="M344" s="19">
        <v>-30</v>
      </c>
      <c r="N344" s="19"/>
      <c r="O344" s="19">
        <v>553</v>
      </c>
      <c r="P344" s="19">
        <f>K344+SUM(L344:O344)</f>
        <v>6935</v>
      </c>
      <c r="Q344" s="19">
        <v>479.34</v>
      </c>
      <c r="R344" s="20">
        <f>Q344/$P344</f>
        <v>6.9118961788031716E-2</v>
      </c>
      <c r="S344" s="19">
        <v>1970.84</v>
      </c>
      <c r="T344" s="20">
        <f>S344/$P344</f>
        <v>0.28418745493871667</v>
      </c>
      <c r="U344" s="19">
        <v>1970.84</v>
      </c>
      <c r="V344" s="20">
        <f>U344/$P344</f>
        <v>0.28418745493871667</v>
      </c>
      <c r="W344" s="19">
        <v>4368.38</v>
      </c>
      <c r="X344" s="20">
        <f>W344/$P344</f>
        <v>0.62990338860850759</v>
      </c>
      <c r="Y344" s="19">
        <f>K344</f>
        <v>6500</v>
      </c>
      <c r="Z344" s="19">
        <f>Y344</f>
        <v>6500</v>
      </c>
    </row>
    <row r="345" spans="1:26" x14ac:dyDescent="0.25">
      <c r="A345" s="10">
        <v>6</v>
      </c>
      <c r="B345" s="10">
        <v>2</v>
      </c>
      <c r="C345" s="10">
        <v>2</v>
      </c>
      <c r="D345" s="7"/>
      <c r="E345" s="18">
        <v>640</v>
      </c>
      <c r="F345" s="18" t="s">
        <v>119</v>
      </c>
      <c r="G345" s="19">
        <v>14967.22</v>
      </c>
      <c r="H345" s="19">
        <v>2970</v>
      </c>
      <c r="I345" s="19">
        <v>7500</v>
      </c>
      <c r="J345" s="19">
        <v>2500</v>
      </c>
      <c r="K345" s="19">
        <v>8500</v>
      </c>
      <c r="L345" s="19"/>
      <c r="M345" s="19"/>
      <c r="N345" s="19">
        <v>-1850</v>
      </c>
      <c r="O345" s="19">
        <v>-572</v>
      </c>
      <c r="P345" s="19">
        <f>K345+SUM(L345:O345)</f>
        <v>6078</v>
      </c>
      <c r="Q345" s="19">
        <v>0</v>
      </c>
      <c r="R345" s="20">
        <f>Q345/$P345</f>
        <v>0</v>
      </c>
      <c r="S345" s="19">
        <v>0</v>
      </c>
      <c r="T345" s="20">
        <f>S345/$P345</f>
        <v>0</v>
      </c>
      <c r="U345" s="19">
        <v>4000</v>
      </c>
      <c r="V345" s="20">
        <f>U345/$P345</f>
        <v>0.65811122079631457</v>
      </c>
      <c r="W345" s="19">
        <v>4000</v>
      </c>
      <c r="X345" s="20">
        <f>W345/$P345</f>
        <v>0.65811122079631457</v>
      </c>
      <c r="Y345" s="19">
        <v>5000</v>
      </c>
      <c r="Z345" s="19">
        <f>Y345</f>
        <v>5000</v>
      </c>
    </row>
    <row r="346" spans="1:26" x14ac:dyDescent="0.25">
      <c r="A346" s="10">
        <v>6</v>
      </c>
      <c r="B346" s="10">
        <v>2</v>
      </c>
      <c r="C346" s="10">
        <v>2</v>
      </c>
      <c r="D346" s="69" t="s">
        <v>97</v>
      </c>
      <c r="E346" s="21">
        <v>41</v>
      </c>
      <c r="F346" s="21" t="s">
        <v>56</v>
      </c>
      <c r="G346" s="22">
        <f t="shared" ref="G346:Q346" si="125">SUM(G343:G345)</f>
        <v>35572.979999999996</v>
      </c>
      <c r="H346" s="22">
        <f t="shared" si="125"/>
        <v>23593.7</v>
      </c>
      <c r="I346" s="22">
        <f t="shared" si="125"/>
        <v>9250</v>
      </c>
      <c r="J346" s="22">
        <f t="shared" si="125"/>
        <v>6759.59</v>
      </c>
      <c r="K346" s="22">
        <f t="shared" si="125"/>
        <v>15000</v>
      </c>
      <c r="L346" s="22">
        <f t="shared" si="125"/>
        <v>0</v>
      </c>
      <c r="M346" s="22">
        <f t="shared" si="125"/>
        <v>0</v>
      </c>
      <c r="N346" s="22">
        <f t="shared" si="125"/>
        <v>-1850</v>
      </c>
      <c r="O346" s="22">
        <f t="shared" si="125"/>
        <v>0</v>
      </c>
      <c r="P346" s="22">
        <f t="shared" si="125"/>
        <v>13150</v>
      </c>
      <c r="Q346" s="22">
        <f t="shared" si="125"/>
        <v>524.57999999999993</v>
      </c>
      <c r="R346" s="23">
        <f>Q346/$P346</f>
        <v>3.989201520912547E-2</v>
      </c>
      <c r="S346" s="22">
        <f>SUM(S343:S345)</f>
        <v>2086.37</v>
      </c>
      <c r="T346" s="23">
        <f>S346/$P346</f>
        <v>0.15865931558935362</v>
      </c>
      <c r="U346" s="22">
        <f>SUM(U343:U345)</f>
        <v>6086.37</v>
      </c>
      <c r="V346" s="23">
        <f>U346/$P346</f>
        <v>0.462841825095057</v>
      </c>
      <c r="W346" s="22">
        <f>SUM(W343:W345)</f>
        <v>8511.9500000000007</v>
      </c>
      <c r="X346" s="23">
        <f>W346/$P346</f>
        <v>0.64729657794676809</v>
      </c>
      <c r="Y346" s="22">
        <f>SUM(Y343:Y345)</f>
        <v>11500</v>
      </c>
      <c r="Z346" s="22">
        <f>SUM(Z343:Z345)</f>
        <v>11500</v>
      </c>
    </row>
    <row r="348" spans="1:26" x14ac:dyDescent="0.25">
      <c r="E348" s="44" t="s">
        <v>57</v>
      </c>
      <c r="F348" s="24" t="s">
        <v>212</v>
      </c>
      <c r="G348" s="45">
        <v>4786.38</v>
      </c>
      <c r="H348" s="45">
        <v>5616.33</v>
      </c>
      <c r="I348" s="45">
        <v>2750</v>
      </c>
      <c r="J348" s="45">
        <v>2500</v>
      </c>
      <c r="K348" s="45"/>
      <c r="L348" s="45"/>
      <c r="M348" s="45"/>
      <c r="N348" s="45"/>
      <c r="O348" s="45"/>
      <c r="P348" s="45">
        <f>K348+SUM(L348:O348)</f>
        <v>0</v>
      </c>
      <c r="Q348" s="45">
        <v>0</v>
      </c>
      <c r="R348" s="46" t="e">
        <f>Q348/$P348</f>
        <v>#DIV/0!</v>
      </c>
      <c r="S348" s="45">
        <v>0</v>
      </c>
      <c r="T348" s="46" t="e">
        <f>S348/$P348</f>
        <v>#DIV/0!</v>
      </c>
      <c r="U348" s="45">
        <v>0</v>
      </c>
      <c r="V348" s="46" t="e">
        <f>U348/$P348</f>
        <v>#DIV/0!</v>
      </c>
      <c r="W348" s="45">
        <v>0</v>
      </c>
      <c r="X348" s="47" t="e">
        <f>W348/$P348</f>
        <v>#DIV/0!</v>
      </c>
      <c r="Y348" s="45"/>
      <c r="Z348" s="48"/>
    </row>
    <row r="349" spans="1:26" x14ac:dyDescent="0.25">
      <c r="E349" s="49"/>
      <c r="F349" s="10" t="s">
        <v>213</v>
      </c>
      <c r="G349" s="51">
        <v>6370.16</v>
      </c>
      <c r="H349" s="51">
        <v>7798.66</v>
      </c>
      <c r="I349" s="51">
        <v>4000</v>
      </c>
      <c r="J349" s="54"/>
      <c r="K349" s="51"/>
      <c r="L349" s="51"/>
      <c r="M349" s="51"/>
      <c r="N349" s="51">
        <v>4000</v>
      </c>
      <c r="O349" s="51"/>
      <c r="P349" s="51">
        <f>K349+SUM(L349:O349)</f>
        <v>4000</v>
      </c>
      <c r="Q349" s="51">
        <v>0</v>
      </c>
      <c r="R349" s="11">
        <f>Q349/$P349</f>
        <v>0</v>
      </c>
      <c r="S349" s="51">
        <v>0</v>
      </c>
      <c r="T349" s="11">
        <f>S349/$P349</f>
        <v>0</v>
      </c>
      <c r="U349" s="51">
        <v>4000</v>
      </c>
      <c r="V349" s="11">
        <f>U349/$P349</f>
        <v>1</v>
      </c>
      <c r="W349" s="51">
        <v>4000</v>
      </c>
      <c r="X349" s="52">
        <f>W349/$P349</f>
        <v>1</v>
      </c>
      <c r="Y349" s="51"/>
      <c r="Z349" s="53"/>
    </row>
    <row r="350" spans="1:26" x14ac:dyDescent="0.25">
      <c r="E350" s="49"/>
      <c r="F350" s="10" t="s">
        <v>214</v>
      </c>
      <c r="G350" s="54">
        <v>8656.75</v>
      </c>
      <c r="H350" s="54">
        <v>4173.74</v>
      </c>
      <c r="I350" s="51">
        <v>2500</v>
      </c>
      <c r="J350" s="54">
        <v>3408</v>
      </c>
      <c r="K350" s="54">
        <v>6500</v>
      </c>
      <c r="L350" s="54"/>
      <c r="M350" s="54"/>
      <c r="N350" s="54"/>
      <c r="O350" s="54">
        <v>435</v>
      </c>
      <c r="P350" s="54">
        <f>K350+SUM(L350:O350)</f>
        <v>6935</v>
      </c>
      <c r="Q350" s="54">
        <v>0</v>
      </c>
      <c r="R350" s="55">
        <f>Q350/$P350</f>
        <v>0</v>
      </c>
      <c r="S350" s="54">
        <f>1970.84+S343</f>
        <v>2086.37</v>
      </c>
      <c r="T350" s="55">
        <f>S350/$P350</f>
        <v>0.30084643114635901</v>
      </c>
      <c r="U350" s="54">
        <f>1970.84+U343</f>
        <v>2086.37</v>
      </c>
      <c r="V350" s="55">
        <f>U350/$P350</f>
        <v>0.30084643114635901</v>
      </c>
      <c r="W350" s="54">
        <v>4368.38</v>
      </c>
      <c r="X350" s="56">
        <f>W350/$P350</f>
        <v>0.62990338860850759</v>
      </c>
      <c r="Y350" s="54">
        <v>3000</v>
      </c>
      <c r="Z350" s="53">
        <v>3000</v>
      </c>
    </row>
    <row r="351" spans="1:26" x14ac:dyDescent="0.25">
      <c r="E351" s="49"/>
      <c r="F351" s="50" t="s">
        <v>215</v>
      </c>
      <c r="G351" s="54">
        <v>2483.25</v>
      </c>
      <c r="H351" s="54">
        <v>4620.26</v>
      </c>
      <c r="I351" s="51"/>
      <c r="J351" s="51"/>
      <c r="K351" s="51"/>
      <c r="L351" s="51"/>
      <c r="M351" s="51"/>
      <c r="N351" s="51"/>
      <c r="O351" s="51"/>
      <c r="P351" s="51">
        <f>K351+SUM(L351:O351)</f>
        <v>0</v>
      </c>
      <c r="Q351" s="51">
        <v>0</v>
      </c>
      <c r="R351" s="11" t="e">
        <f>Q351/$P351</f>
        <v>#DIV/0!</v>
      </c>
      <c r="S351" s="51">
        <v>0</v>
      </c>
      <c r="T351" s="11" t="e">
        <f>S351/$P351</f>
        <v>#DIV/0!</v>
      </c>
      <c r="U351" s="51">
        <v>0</v>
      </c>
      <c r="V351" s="11" t="e">
        <f>U351/$P351</f>
        <v>#DIV/0!</v>
      </c>
      <c r="W351" s="51">
        <v>0</v>
      </c>
      <c r="X351" s="52" t="e">
        <f>W351/$P351</f>
        <v>#DIV/0!</v>
      </c>
      <c r="Y351" s="51"/>
      <c r="Z351" s="53"/>
    </row>
    <row r="352" spans="1:26" x14ac:dyDescent="0.25">
      <c r="E352" s="57"/>
      <c r="F352" s="70" t="s">
        <v>206</v>
      </c>
      <c r="G352" s="59"/>
      <c r="H352" s="59"/>
      <c r="I352" s="59"/>
      <c r="J352" s="59"/>
      <c r="K352" s="59">
        <v>8500</v>
      </c>
      <c r="L352" s="59"/>
      <c r="M352" s="59"/>
      <c r="N352" s="59">
        <v>-5850</v>
      </c>
      <c r="O352" s="59">
        <v>-572</v>
      </c>
      <c r="P352" s="59">
        <f>K352+SUM(L352:O352)</f>
        <v>2078</v>
      </c>
      <c r="Q352" s="59">
        <v>0</v>
      </c>
      <c r="R352" s="60">
        <f>Q352/$P352</f>
        <v>0</v>
      </c>
      <c r="S352" s="59">
        <v>0</v>
      </c>
      <c r="T352" s="60">
        <f>S352/$P352</f>
        <v>0</v>
      </c>
      <c r="U352" s="59">
        <v>0</v>
      </c>
      <c r="V352" s="60">
        <f>U352/$P352</f>
        <v>0</v>
      </c>
      <c r="W352" s="59">
        <v>0</v>
      </c>
      <c r="X352" s="61">
        <f>W352/$P352</f>
        <v>0</v>
      </c>
      <c r="Y352" s="59">
        <v>5000</v>
      </c>
      <c r="Z352" s="62">
        <f>Y352</f>
        <v>5000</v>
      </c>
    </row>
    <row r="354" spans="1:26" x14ac:dyDescent="0.25">
      <c r="D354" s="65" t="s">
        <v>216</v>
      </c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6"/>
      <c r="S354" s="65"/>
      <c r="T354" s="66"/>
      <c r="U354" s="65"/>
      <c r="V354" s="66"/>
      <c r="W354" s="65"/>
      <c r="X354" s="66"/>
      <c r="Y354" s="65"/>
      <c r="Z354" s="65"/>
    </row>
    <row r="355" spans="1:26" x14ac:dyDescent="0.25">
      <c r="D355" s="16" t="s">
        <v>33</v>
      </c>
      <c r="E355" s="16" t="s">
        <v>34</v>
      </c>
      <c r="F355" s="16" t="s">
        <v>35</v>
      </c>
      <c r="G355" s="16" t="s">
        <v>1</v>
      </c>
      <c r="H355" s="16" t="s">
        <v>2</v>
      </c>
      <c r="I355" s="16" t="s">
        <v>3</v>
      </c>
      <c r="J355" s="16" t="s">
        <v>4</v>
      </c>
      <c r="K355" s="16" t="s">
        <v>5</v>
      </c>
      <c r="L355" s="16" t="s">
        <v>6</v>
      </c>
      <c r="M355" s="16" t="s">
        <v>7</v>
      </c>
      <c r="N355" s="16" t="s">
        <v>8</v>
      </c>
      <c r="O355" s="16" t="s">
        <v>9</v>
      </c>
      <c r="P355" s="16" t="s">
        <v>10</v>
      </c>
      <c r="Q355" s="16" t="s">
        <v>11</v>
      </c>
      <c r="R355" s="17" t="s">
        <v>12</v>
      </c>
      <c r="S355" s="16" t="s">
        <v>13</v>
      </c>
      <c r="T355" s="17" t="s">
        <v>14</v>
      </c>
      <c r="U355" s="16" t="s">
        <v>15</v>
      </c>
      <c r="V355" s="17" t="s">
        <v>16</v>
      </c>
      <c r="W355" s="16" t="s">
        <v>17</v>
      </c>
      <c r="X355" s="17" t="s">
        <v>18</v>
      </c>
      <c r="Y355" s="16" t="s">
        <v>19</v>
      </c>
      <c r="Z355" s="16" t="s">
        <v>20</v>
      </c>
    </row>
    <row r="356" spans="1:26" x14ac:dyDescent="0.25">
      <c r="A356" s="10">
        <v>6</v>
      </c>
      <c r="B356" s="10">
        <v>2</v>
      </c>
      <c r="C356" s="10">
        <v>3</v>
      </c>
      <c r="D356" s="40" t="s">
        <v>209</v>
      </c>
      <c r="E356" s="18">
        <v>630</v>
      </c>
      <c r="F356" s="18" t="s">
        <v>118</v>
      </c>
      <c r="G356" s="19">
        <v>1073.67</v>
      </c>
      <c r="H356" s="19">
        <v>1215.5</v>
      </c>
      <c r="I356" s="19">
        <v>1235</v>
      </c>
      <c r="J356" s="19">
        <v>1017.02</v>
      </c>
      <c r="K356" s="19">
        <v>1200</v>
      </c>
      <c r="L356" s="19"/>
      <c r="M356" s="19"/>
      <c r="N356" s="19"/>
      <c r="O356" s="19"/>
      <c r="P356" s="19">
        <f>K356+SUM(L356:O356)</f>
        <v>1200</v>
      </c>
      <c r="Q356" s="19">
        <v>0</v>
      </c>
      <c r="R356" s="20">
        <f>Q356/$P356</f>
        <v>0</v>
      </c>
      <c r="S356" s="19">
        <v>0</v>
      </c>
      <c r="T356" s="20">
        <f>S356/$P356</f>
        <v>0</v>
      </c>
      <c r="U356" s="19">
        <v>0</v>
      </c>
      <c r="V356" s="20">
        <f>U356/$P356</f>
        <v>0</v>
      </c>
      <c r="W356" s="19">
        <v>596.5</v>
      </c>
      <c r="X356" s="20">
        <f>W356/$P356</f>
        <v>0.49708333333333332</v>
      </c>
      <c r="Y356" s="19">
        <f>K356</f>
        <v>1200</v>
      </c>
      <c r="Z356" s="19">
        <f>Y356</f>
        <v>1200</v>
      </c>
    </row>
    <row r="357" spans="1:26" x14ac:dyDescent="0.25">
      <c r="A357" s="10">
        <v>6</v>
      </c>
      <c r="B357" s="10">
        <v>2</v>
      </c>
      <c r="C357" s="10">
        <v>3</v>
      </c>
      <c r="D357" s="69" t="s">
        <v>97</v>
      </c>
      <c r="E357" s="21">
        <v>41</v>
      </c>
      <c r="F357" s="21" t="s">
        <v>56</v>
      </c>
      <c r="G357" s="22">
        <f t="shared" ref="G357:Q357" si="126">SUM(G356:G356)</f>
        <v>1073.67</v>
      </c>
      <c r="H357" s="22">
        <f t="shared" si="126"/>
        <v>1215.5</v>
      </c>
      <c r="I357" s="22">
        <f t="shared" si="126"/>
        <v>1235</v>
      </c>
      <c r="J357" s="22">
        <f t="shared" si="126"/>
        <v>1017.02</v>
      </c>
      <c r="K357" s="22">
        <f t="shared" si="126"/>
        <v>1200</v>
      </c>
      <c r="L357" s="22">
        <f t="shared" si="126"/>
        <v>0</v>
      </c>
      <c r="M357" s="22">
        <f t="shared" si="126"/>
        <v>0</v>
      </c>
      <c r="N357" s="22">
        <f t="shared" si="126"/>
        <v>0</v>
      </c>
      <c r="O357" s="22">
        <f t="shared" si="126"/>
        <v>0</v>
      </c>
      <c r="P357" s="22">
        <f t="shared" si="126"/>
        <v>1200</v>
      </c>
      <c r="Q357" s="22">
        <f t="shared" si="126"/>
        <v>0</v>
      </c>
      <c r="R357" s="23">
        <f>Q357/$P357</f>
        <v>0</v>
      </c>
      <c r="S357" s="22">
        <f>SUM(S356:S356)</f>
        <v>0</v>
      </c>
      <c r="T357" s="23">
        <f>S357/$P357</f>
        <v>0</v>
      </c>
      <c r="U357" s="22">
        <f>SUM(U356:U356)</f>
        <v>0</v>
      </c>
      <c r="V357" s="23">
        <f>U357/$P357</f>
        <v>0</v>
      </c>
      <c r="W357" s="22">
        <f>SUM(W356:W356)</f>
        <v>596.5</v>
      </c>
      <c r="X357" s="23">
        <f>W357/$P357</f>
        <v>0.49708333333333332</v>
      </c>
      <c r="Y357" s="22">
        <f>SUM(Y356:Y356)</f>
        <v>1200</v>
      </c>
      <c r="Z357" s="22">
        <f>SUM(Z356:Z356)</f>
        <v>1200</v>
      </c>
    </row>
    <row r="359" spans="1:26" x14ac:dyDescent="0.25">
      <c r="D359" s="35" t="s">
        <v>217</v>
      </c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6"/>
      <c r="S359" s="35"/>
      <c r="T359" s="36"/>
      <c r="U359" s="35"/>
      <c r="V359" s="36"/>
      <c r="W359" s="35"/>
      <c r="X359" s="36"/>
      <c r="Y359" s="35"/>
      <c r="Z359" s="35"/>
    </row>
    <row r="360" spans="1:26" x14ac:dyDescent="0.25">
      <c r="D360" s="16"/>
      <c r="E360" s="16"/>
      <c r="F360" s="16"/>
      <c r="G360" s="16" t="s">
        <v>1</v>
      </c>
      <c r="H360" s="16" t="s">
        <v>2</v>
      </c>
      <c r="I360" s="16" t="s">
        <v>3</v>
      </c>
      <c r="J360" s="16" t="s">
        <v>4</v>
      </c>
      <c r="K360" s="16" t="s">
        <v>5</v>
      </c>
      <c r="L360" s="16" t="s">
        <v>6</v>
      </c>
      <c r="M360" s="16" t="s">
        <v>7</v>
      </c>
      <c r="N360" s="16" t="s">
        <v>8</v>
      </c>
      <c r="O360" s="16" t="s">
        <v>9</v>
      </c>
      <c r="P360" s="16" t="s">
        <v>10</v>
      </c>
      <c r="Q360" s="16" t="s">
        <v>11</v>
      </c>
      <c r="R360" s="17" t="s">
        <v>12</v>
      </c>
      <c r="S360" s="16" t="s">
        <v>13</v>
      </c>
      <c r="T360" s="17" t="s">
        <v>14</v>
      </c>
      <c r="U360" s="16" t="s">
        <v>15</v>
      </c>
      <c r="V360" s="17" t="s">
        <v>16</v>
      </c>
      <c r="W360" s="16" t="s">
        <v>17</v>
      </c>
      <c r="X360" s="17" t="s">
        <v>18</v>
      </c>
      <c r="Y360" s="16" t="s">
        <v>19</v>
      </c>
      <c r="Z360" s="16" t="s">
        <v>20</v>
      </c>
    </row>
    <row r="361" spans="1:26" x14ac:dyDescent="0.25">
      <c r="A361" s="10">
        <v>6</v>
      </c>
      <c r="B361" s="10">
        <v>3</v>
      </c>
      <c r="D361" s="37" t="s">
        <v>21</v>
      </c>
      <c r="E361" s="18">
        <v>41</v>
      </c>
      <c r="F361" s="18" t="s">
        <v>23</v>
      </c>
      <c r="G361" s="19">
        <f t="shared" ref="G361:O361" si="127">G368+G375</f>
        <v>9564.7200000000012</v>
      </c>
      <c r="H361" s="19">
        <f t="shared" si="127"/>
        <v>8564.7200000000012</v>
      </c>
      <c r="I361" s="19">
        <f t="shared" si="127"/>
        <v>20065</v>
      </c>
      <c r="J361" s="19">
        <f t="shared" si="127"/>
        <v>10483.939999999999</v>
      </c>
      <c r="K361" s="19">
        <f t="shared" si="127"/>
        <v>8900</v>
      </c>
      <c r="L361" s="19">
        <f t="shared" si="127"/>
        <v>165</v>
      </c>
      <c r="M361" s="19">
        <f t="shared" si="127"/>
        <v>269</v>
      </c>
      <c r="N361" s="19">
        <f t="shared" si="127"/>
        <v>0</v>
      </c>
      <c r="O361" s="19">
        <f t="shared" si="127"/>
        <v>0</v>
      </c>
      <c r="P361" s="19">
        <f>K361+SUM(L361:O361)</f>
        <v>9334</v>
      </c>
      <c r="Q361" s="19">
        <f>Q368+Q375</f>
        <v>1932.36</v>
      </c>
      <c r="R361" s="20">
        <f>Q361/$P361</f>
        <v>0.20702378401542745</v>
      </c>
      <c r="S361" s="19">
        <f>S368+S375</f>
        <v>4951.07</v>
      </c>
      <c r="T361" s="20">
        <f>S361/$P361</f>
        <v>0.53043389757874437</v>
      </c>
      <c r="U361" s="19">
        <f>U368+U375</f>
        <v>7483.43</v>
      </c>
      <c r="V361" s="20">
        <f>U361/$P361</f>
        <v>0.80173880437111633</v>
      </c>
      <c r="W361" s="19">
        <f>W368+W375</f>
        <v>8833.43</v>
      </c>
      <c r="X361" s="20">
        <f>W361/$P361</f>
        <v>0.9463713306192415</v>
      </c>
      <c r="Y361" s="19">
        <f>Y368+Y375</f>
        <v>7900</v>
      </c>
      <c r="Z361" s="19">
        <f>Z368+Z375</f>
        <v>7900</v>
      </c>
    </row>
    <row r="362" spans="1:26" x14ac:dyDescent="0.25">
      <c r="D362" s="24"/>
      <c r="E362" s="25"/>
      <c r="F362" s="21" t="s">
        <v>31</v>
      </c>
      <c r="G362" s="22">
        <f t="shared" ref="G362:Q362" si="128">SUM(G361:G361)</f>
        <v>9564.7200000000012</v>
      </c>
      <c r="H362" s="22">
        <f t="shared" si="128"/>
        <v>8564.7200000000012</v>
      </c>
      <c r="I362" s="22">
        <f t="shared" si="128"/>
        <v>20065</v>
      </c>
      <c r="J362" s="22">
        <f t="shared" si="128"/>
        <v>10483.939999999999</v>
      </c>
      <c r="K362" s="22">
        <f t="shared" si="128"/>
        <v>8900</v>
      </c>
      <c r="L362" s="22">
        <f t="shared" si="128"/>
        <v>165</v>
      </c>
      <c r="M362" s="22">
        <f t="shared" si="128"/>
        <v>269</v>
      </c>
      <c r="N362" s="22">
        <f t="shared" si="128"/>
        <v>0</v>
      </c>
      <c r="O362" s="22">
        <f t="shared" si="128"/>
        <v>0</v>
      </c>
      <c r="P362" s="22">
        <f t="shared" si="128"/>
        <v>9334</v>
      </c>
      <c r="Q362" s="22">
        <f t="shared" si="128"/>
        <v>1932.36</v>
      </c>
      <c r="R362" s="23">
        <f>Q362/$P362</f>
        <v>0.20702378401542745</v>
      </c>
      <c r="S362" s="22">
        <f>SUM(S361:S361)</f>
        <v>4951.07</v>
      </c>
      <c r="T362" s="23">
        <f>S362/$P362</f>
        <v>0.53043389757874437</v>
      </c>
      <c r="U362" s="22">
        <f>SUM(U361:U361)</f>
        <v>7483.43</v>
      </c>
      <c r="V362" s="23">
        <f>U362/$P362</f>
        <v>0.80173880437111633</v>
      </c>
      <c r="W362" s="22">
        <f>SUM(W361:W361)</f>
        <v>8833.43</v>
      </c>
      <c r="X362" s="23">
        <f>W362/$P362</f>
        <v>0.9463713306192415</v>
      </c>
      <c r="Y362" s="22">
        <f>SUM(Y361:Y361)</f>
        <v>7900</v>
      </c>
      <c r="Z362" s="22">
        <f>SUM(Z361:Z361)</f>
        <v>7900</v>
      </c>
    </row>
    <row r="364" spans="1:26" x14ac:dyDescent="0.25">
      <c r="D364" s="65" t="s">
        <v>218</v>
      </c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6"/>
      <c r="S364" s="65"/>
      <c r="T364" s="66"/>
      <c r="U364" s="65"/>
      <c r="V364" s="66"/>
      <c r="W364" s="65"/>
      <c r="X364" s="66"/>
      <c r="Y364" s="65"/>
      <c r="Z364" s="65"/>
    </row>
    <row r="365" spans="1:26" x14ac:dyDescent="0.25">
      <c r="D365" s="16" t="s">
        <v>33</v>
      </c>
      <c r="E365" s="16" t="s">
        <v>34</v>
      </c>
      <c r="F365" s="16" t="s">
        <v>35</v>
      </c>
      <c r="G365" s="16" t="s">
        <v>1</v>
      </c>
      <c r="H365" s="16" t="s">
        <v>2</v>
      </c>
      <c r="I365" s="16" t="s">
        <v>3</v>
      </c>
      <c r="J365" s="16" t="s">
        <v>4</v>
      </c>
      <c r="K365" s="16" t="s">
        <v>5</v>
      </c>
      <c r="L365" s="16" t="s">
        <v>6</v>
      </c>
      <c r="M365" s="16" t="s">
        <v>7</v>
      </c>
      <c r="N365" s="16" t="s">
        <v>8</v>
      </c>
      <c r="O365" s="16" t="s">
        <v>9</v>
      </c>
      <c r="P365" s="16" t="s">
        <v>10</v>
      </c>
      <c r="Q365" s="16" t="s">
        <v>11</v>
      </c>
      <c r="R365" s="17" t="s">
        <v>12</v>
      </c>
      <c r="S365" s="16" t="s">
        <v>13</v>
      </c>
      <c r="T365" s="17" t="s">
        <v>14</v>
      </c>
      <c r="U365" s="16" t="s">
        <v>15</v>
      </c>
      <c r="V365" s="17" t="s">
        <v>16</v>
      </c>
      <c r="W365" s="16" t="s">
        <v>17</v>
      </c>
      <c r="X365" s="17" t="s">
        <v>18</v>
      </c>
      <c r="Y365" s="16" t="s">
        <v>19</v>
      </c>
      <c r="Z365" s="16" t="s">
        <v>20</v>
      </c>
    </row>
    <row r="366" spans="1:26" x14ac:dyDescent="0.25">
      <c r="A366" s="10">
        <v>6</v>
      </c>
      <c r="B366" s="10">
        <v>3</v>
      </c>
      <c r="C366" s="10">
        <v>1</v>
      </c>
      <c r="D366" s="7" t="s">
        <v>219</v>
      </c>
      <c r="E366" s="18">
        <v>630</v>
      </c>
      <c r="F366" s="18" t="s">
        <v>118</v>
      </c>
      <c r="G366" s="19">
        <v>164.72</v>
      </c>
      <c r="H366" s="19">
        <v>164.72</v>
      </c>
      <c r="I366" s="19">
        <v>14065</v>
      </c>
      <c r="J366" s="19">
        <v>7483.94</v>
      </c>
      <c r="K366" s="19">
        <v>5400</v>
      </c>
      <c r="L366" s="19">
        <v>165</v>
      </c>
      <c r="M366" s="19"/>
      <c r="N366" s="19"/>
      <c r="O366" s="19"/>
      <c r="P366" s="19">
        <f>K366+SUM(L366:O366)</f>
        <v>5565</v>
      </c>
      <c r="Q366" s="19">
        <v>1432.36</v>
      </c>
      <c r="R366" s="20">
        <f>Q366/$P366</f>
        <v>0.25738724168912847</v>
      </c>
      <c r="S366" s="19">
        <v>2782.36</v>
      </c>
      <c r="T366" s="20">
        <f>S366/$P366</f>
        <v>0.49997484276729565</v>
      </c>
      <c r="U366" s="19">
        <v>4214.72</v>
      </c>
      <c r="V366" s="20">
        <f>U366/$P366</f>
        <v>0.75736208445642417</v>
      </c>
      <c r="W366" s="19">
        <v>5564.72</v>
      </c>
      <c r="X366" s="20">
        <f>W366/$P366</f>
        <v>0.99994968553459129</v>
      </c>
      <c r="Y366" s="19">
        <f>K366</f>
        <v>5400</v>
      </c>
      <c r="Z366" s="19">
        <f>Y366</f>
        <v>5400</v>
      </c>
    </row>
    <row r="367" spans="1:26" x14ac:dyDescent="0.25">
      <c r="A367" s="10">
        <v>6</v>
      </c>
      <c r="B367" s="10">
        <v>3</v>
      </c>
      <c r="C367" s="10">
        <v>1</v>
      </c>
      <c r="D367" s="7"/>
      <c r="E367" s="18">
        <v>640</v>
      </c>
      <c r="F367" s="18" t="s">
        <v>119</v>
      </c>
      <c r="G367" s="19">
        <v>5400</v>
      </c>
      <c r="H367" s="19">
        <v>5400</v>
      </c>
      <c r="I367" s="19">
        <v>0</v>
      </c>
      <c r="J367" s="19">
        <v>0</v>
      </c>
      <c r="K367" s="19">
        <v>0</v>
      </c>
      <c r="L367" s="19"/>
      <c r="M367" s="19"/>
      <c r="N367" s="19"/>
      <c r="O367" s="19"/>
      <c r="P367" s="19">
        <f>K367+SUM(L367:O367)</f>
        <v>0</v>
      </c>
      <c r="Q367" s="19">
        <v>0</v>
      </c>
      <c r="R367" s="20" t="e">
        <f>Q367/$P367</f>
        <v>#DIV/0!</v>
      </c>
      <c r="S367" s="19">
        <v>0</v>
      </c>
      <c r="T367" s="20" t="e">
        <f>S367/$P367</f>
        <v>#DIV/0!</v>
      </c>
      <c r="U367" s="19">
        <v>0</v>
      </c>
      <c r="V367" s="20" t="e">
        <f>U367/$P367</f>
        <v>#DIV/0!</v>
      </c>
      <c r="W367" s="19">
        <v>0</v>
      </c>
      <c r="X367" s="20" t="e">
        <f>W367/$P367</f>
        <v>#DIV/0!</v>
      </c>
      <c r="Y367" s="19">
        <v>0</v>
      </c>
      <c r="Z367" s="19">
        <v>0</v>
      </c>
    </row>
    <row r="368" spans="1:26" x14ac:dyDescent="0.25">
      <c r="A368" s="10">
        <v>6</v>
      </c>
      <c r="B368" s="10">
        <v>3</v>
      </c>
      <c r="C368" s="10">
        <v>1</v>
      </c>
      <c r="D368" s="69" t="s">
        <v>97</v>
      </c>
      <c r="E368" s="21">
        <v>41</v>
      </c>
      <c r="F368" s="21" t="s">
        <v>56</v>
      </c>
      <c r="G368" s="22">
        <f t="shared" ref="G368:Q368" si="129">SUM(G366:G367)</f>
        <v>5564.72</v>
      </c>
      <c r="H368" s="22">
        <f t="shared" si="129"/>
        <v>5564.72</v>
      </c>
      <c r="I368" s="22">
        <f t="shared" si="129"/>
        <v>14065</v>
      </c>
      <c r="J368" s="22">
        <f t="shared" si="129"/>
        <v>7483.94</v>
      </c>
      <c r="K368" s="22">
        <f t="shared" si="129"/>
        <v>5400</v>
      </c>
      <c r="L368" s="22">
        <f t="shared" si="129"/>
        <v>165</v>
      </c>
      <c r="M368" s="22">
        <f t="shared" si="129"/>
        <v>0</v>
      </c>
      <c r="N368" s="22">
        <f t="shared" si="129"/>
        <v>0</v>
      </c>
      <c r="O368" s="22">
        <f t="shared" si="129"/>
        <v>0</v>
      </c>
      <c r="P368" s="22">
        <f t="shared" si="129"/>
        <v>5565</v>
      </c>
      <c r="Q368" s="22">
        <f t="shared" si="129"/>
        <v>1432.36</v>
      </c>
      <c r="R368" s="23">
        <f>Q368/$P368</f>
        <v>0.25738724168912847</v>
      </c>
      <c r="S368" s="22">
        <f>SUM(S366:S367)</f>
        <v>2782.36</v>
      </c>
      <c r="T368" s="23">
        <f>S368/$P368</f>
        <v>0.49997484276729565</v>
      </c>
      <c r="U368" s="22">
        <f>SUM(U366:U367)</f>
        <v>4214.72</v>
      </c>
      <c r="V368" s="23">
        <f>U368/$P368</f>
        <v>0.75736208445642417</v>
      </c>
      <c r="W368" s="22">
        <f>SUM(W366:W367)</f>
        <v>5564.72</v>
      </c>
      <c r="X368" s="23">
        <f>W368/$P368</f>
        <v>0.99994968553459129</v>
      </c>
      <c r="Y368" s="22">
        <f>SUM(Y366:Y367)</f>
        <v>5400</v>
      </c>
      <c r="Z368" s="22">
        <f>SUM(Z366:Z367)</f>
        <v>5400</v>
      </c>
    </row>
    <row r="370" spans="1:26" x14ac:dyDescent="0.25">
      <c r="E370" s="73" t="s">
        <v>57</v>
      </c>
      <c r="F370" s="74" t="s">
        <v>220</v>
      </c>
      <c r="G370" s="75">
        <v>5400</v>
      </c>
      <c r="H370" s="75">
        <v>5400</v>
      </c>
      <c r="I370" s="75">
        <v>5400</v>
      </c>
      <c r="J370" s="75">
        <v>5400</v>
      </c>
      <c r="K370" s="75">
        <v>5400</v>
      </c>
      <c r="L370" s="75"/>
      <c r="M370" s="75"/>
      <c r="N370" s="75"/>
      <c r="O370" s="75"/>
      <c r="P370" s="75">
        <f>K370+SUM(L370:O370)</f>
        <v>5400</v>
      </c>
      <c r="Q370" s="75">
        <v>1350</v>
      </c>
      <c r="R370" s="76">
        <f>Q370/$P370</f>
        <v>0.25</v>
      </c>
      <c r="S370" s="75">
        <v>2700</v>
      </c>
      <c r="T370" s="76">
        <f>S370/$P370</f>
        <v>0.5</v>
      </c>
      <c r="U370" s="75">
        <v>4050</v>
      </c>
      <c r="V370" s="76">
        <f>U370/$P370</f>
        <v>0.75</v>
      </c>
      <c r="W370" s="75">
        <v>5400</v>
      </c>
      <c r="X370" s="77">
        <f>W370/$P370</f>
        <v>1</v>
      </c>
      <c r="Y370" s="75">
        <v>5400</v>
      </c>
      <c r="Z370" s="78">
        <v>5400</v>
      </c>
    </row>
    <row r="372" spans="1:26" x14ac:dyDescent="0.25">
      <c r="D372" s="65" t="s">
        <v>221</v>
      </c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6"/>
      <c r="S372" s="65"/>
      <c r="T372" s="66"/>
      <c r="U372" s="65"/>
      <c r="V372" s="66"/>
      <c r="W372" s="65"/>
      <c r="X372" s="66"/>
      <c r="Y372" s="65"/>
      <c r="Z372" s="65"/>
    </row>
    <row r="373" spans="1:26" x14ac:dyDescent="0.25">
      <c r="D373" s="16" t="s">
        <v>33</v>
      </c>
      <c r="E373" s="16" t="s">
        <v>34</v>
      </c>
      <c r="F373" s="16" t="s">
        <v>35</v>
      </c>
      <c r="G373" s="16" t="s">
        <v>1</v>
      </c>
      <c r="H373" s="16" t="s">
        <v>2</v>
      </c>
      <c r="I373" s="16" t="s">
        <v>3</v>
      </c>
      <c r="J373" s="16" t="s">
        <v>4</v>
      </c>
      <c r="K373" s="16" t="s">
        <v>5</v>
      </c>
      <c r="L373" s="16" t="s">
        <v>6</v>
      </c>
      <c r="M373" s="16" t="s">
        <v>7</v>
      </c>
      <c r="N373" s="16" t="s">
        <v>8</v>
      </c>
      <c r="O373" s="16" t="s">
        <v>9</v>
      </c>
      <c r="P373" s="16" t="s">
        <v>10</v>
      </c>
      <c r="Q373" s="16" t="s">
        <v>11</v>
      </c>
      <c r="R373" s="17" t="s">
        <v>12</v>
      </c>
      <c r="S373" s="16" t="s">
        <v>13</v>
      </c>
      <c r="T373" s="17" t="s">
        <v>14</v>
      </c>
      <c r="U373" s="16" t="s">
        <v>15</v>
      </c>
      <c r="V373" s="17" t="s">
        <v>16</v>
      </c>
      <c r="W373" s="16" t="s">
        <v>17</v>
      </c>
      <c r="X373" s="17" t="s">
        <v>18</v>
      </c>
      <c r="Y373" s="16" t="s">
        <v>19</v>
      </c>
      <c r="Z373" s="16" t="s">
        <v>20</v>
      </c>
    </row>
    <row r="374" spans="1:26" x14ac:dyDescent="0.25">
      <c r="A374" s="10">
        <v>6</v>
      </c>
      <c r="B374" s="10">
        <v>3</v>
      </c>
      <c r="C374" s="10">
        <v>2</v>
      </c>
      <c r="D374" s="40" t="s">
        <v>219</v>
      </c>
      <c r="E374" s="18">
        <v>640</v>
      </c>
      <c r="F374" s="18" t="s">
        <v>119</v>
      </c>
      <c r="G374" s="19">
        <v>4000</v>
      </c>
      <c r="H374" s="19">
        <v>3000</v>
      </c>
      <c r="I374" s="19">
        <v>6000</v>
      </c>
      <c r="J374" s="19">
        <v>3000</v>
      </c>
      <c r="K374" s="19">
        <v>3500</v>
      </c>
      <c r="L374" s="19"/>
      <c r="M374" s="19">
        <v>269</v>
      </c>
      <c r="N374" s="19"/>
      <c r="O374" s="19"/>
      <c r="P374" s="19">
        <f>K374+SUM(L374:O374)</f>
        <v>3769</v>
      </c>
      <c r="Q374" s="19">
        <v>500</v>
      </c>
      <c r="R374" s="20">
        <f>Q374/$P374</f>
        <v>0.13266118333775537</v>
      </c>
      <c r="S374" s="19">
        <v>2168.71</v>
      </c>
      <c r="T374" s="20">
        <f>S374/$P374</f>
        <v>0.57540726983284696</v>
      </c>
      <c r="U374" s="19">
        <v>3268.71</v>
      </c>
      <c r="V374" s="20">
        <f>U374/$P374</f>
        <v>0.86726187317590875</v>
      </c>
      <c r="W374" s="19">
        <v>3268.71</v>
      </c>
      <c r="X374" s="20">
        <f>W374/$P374</f>
        <v>0.86726187317590875</v>
      </c>
      <c r="Y374" s="19">
        <v>2500</v>
      </c>
      <c r="Z374" s="19">
        <v>2500</v>
      </c>
    </row>
    <row r="375" spans="1:26" x14ac:dyDescent="0.25">
      <c r="A375" s="10">
        <v>6</v>
      </c>
      <c r="B375" s="10">
        <v>3</v>
      </c>
      <c r="C375" s="10">
        <v>2</v>
      </c>
      <c r="D375" s="69" t="s">
        <v>97</v>
      </c>
      <c r="E375" s="21">
        <v>41</v>
      </c>
      <c r="F375" s="21" t="s">
        <v>56</v>
      </c>
      <c r="G375" s="22">
        <f t="shared" ref="G375:Q375" si="130">SUM(G374:G374)</f>
        <v>4000</v>
      </c>
      <c r="H375" s="22">
        <f t="shared" si="130"/>
        <v>3000</v>
      </c>
      <c r="I375" s="22">
        <f t="shared" si="130"/>
        <v>6000</v>
      </c>
      <c r="J375" s="22">
        <f t="shared" si="130"/>
        <v>3000</v>
      </c>
      <c r="K375" s="22">
        <f t="shared" si="130"/>
        <v>3500</v>
      </c>
      <c r="L375" s="22">
        <f t="shared" si="130"/>
        <v>0</v>
      </c>
      <c r="M375" s="22">
        <f t="shared" si="130"/>
        <v>269</v>
      </c>
      <c r="N375" s="22">
        <f t="shared" si="130"/>
        <v>0</v>
      </c>
      <c r="O375" s="22">
        <f t="shared" si="130"/>
        <v>0</v>
      </c>
      <c r="P375" s="22">
        <f t="shared" si="130"/>
        <v>3769</v>
      </c>
      <c r="Q375" s="22">
        <f t="shared" si="130"/>
        <v>500</v>
      </c>
      <c r="R375" s="23">
        <f>Q375/$P375</f>
        <v>0.13266118333775537</v>
      </c>
      <c r="S375" s="22">
        <f>SUM(S374:S374)</f>
        <v>2168.71</v>
      </c>
      <c r="T375" s="23">
        <f>S375/$P375</f>
        <v>0.57540726983284696</v>
      </c>
      <c r="U375" s="22">
        <f>SUM(U374:U374)</f>
        <v>3268.71</v>
      </c>
      <c r="V375" s="23">
        <f>U375/$P375</f>
        <v>0.86726187317590875</v>
      </c>
      <c r="W375" s="22">
        <f>SUM(W374:W374)</f>
        <v>3268.71</v>
      </c>
      <c r="X375" s="23">
        <f>W375/$P375</f>
        <v>0.86726187317590875</v>
      </c>
      <c r="Y375" s="22">
        <f>SUM(Y374:Y374)</f>
        <v>2500</v>
      </c>
      <c r="Z375" s="22">
        <f>SUM(Z374:Z374)</f>
        <v>2500</v>
      </c>
    </row>
    <row r="377" spans="1:26" x14ac:dyDescent="0.25">
      <c r="E377" s="44" t="s">
        <v>57</v>
      </c>
      <c r="F377" s="24" t="s">
        <v>222</v>
      </c>
      <c r="G377" s="45">
        <v>1300</v>
      </c>
      <c r="H377" s="45">
        <v>1000</v>
      </c>
      <c r="I377" s="45">
        <v>1000</v>
      </c>
      <c r="J377" s="45">
        <v>1000</v>
      </c>
      <c r="K377" s="45">
        <v>500</v>
      </c>
      <c r="L377" s="45"/>
      <c r="M377" s="45">
        <v>600</v>
      </c>
      <c r="N377" s="45"/>
      <c r="O377" s="45"/>
      <c r="P377" s="45">
        <f>K377+SUM(L377:O377)</f>
        <v>1100</v>
      </c>
      <c r="Q377" s="45">
        <v>500</v>
      </c>
      <c r="R377" s="46">
        <f>Q377/$P377</f>
        <v>0.45454545454545453</v>
      </c>
      <c r="S377" s="45">
        <v>500</v>
      </c>
      <c r="T377" s="46">
        <f>S377/$P377</f>
        <v>0.45454545454545453</v>
      </c>
      <c r="U377" s="45">
        <v>1100</v>
      </c>
      <c r="V377" s="46">
        <f>U377/$P377</f>
        <v>1</v>
      </c>
      <c r="W377" s="45">
        <v>1100</v>
      </c>
      <c r="X377" s="47">
        <f>W377/$P377</f>
        <v>1</v>
      </c>
      <c r="Y377" s="45"/>
      <c r="Z377" s="48"/>
    </row>
    <row r="378" spans="1:26" x14ac:dyDescent="0.25">
      <c r="E378" s="49"/>
      <c r="F378" s="10" t="s">
        <v>223</v>
      </c>
      <c r="G378" s="51">
        <v>1000</v>
      </c>
      <c r="H378" s="51">
        <v>1600</v>
      </c>
      <c r="I378" s="51">
        <v>2000</v>
      </c>
      <c r="J378" s="54">
        <v>2000</v>
      </c>
      <c r="K378" s="51">
        <v>2000</v>
      </c>
      <c r="L378" s="51"/>
      <c r="M378" s="51">
        <v>-331</v>
      </c>
      <c r="N378" s="51"/>
      <c r="O378" s="51"/>
      <c r="P378" s="51">
        <f>K378+SUM(L378:O378)</f>
        <v>1669</v>
      </c>
      <c r="Q378" s="51">
        <v>0</v>
      </c>
      <c r="R378" s="11">
        <f>Q378/$P378</f>
        <v>0</v>
      </c>
      <c r="S378" s="51">
        <v>668.71</v>
      </c>
      <c r="T378" s="11">
        <f>S378/$P378</f>
        <v>0.40066506890353509</v>
      </c>
      <c r="U378" s="51">
        <v>1168.71</v>
      </c>
      <c r="V378" s="11">
        <f>U378/$P378</f>
        <v>0.70024565608148592</v>
      </c>
      <c r="W378" s="51">
        <v>1168.71</v>
      </c>
      <c r="X378" s="52">
        <f>W378/$P378</f>
        <v>0.70024565608148592</v>
      </c>
      <c r="Y378" s="51"/>
      <c r="Z378" s="53"/>
    </row>
    <row r="379" spans="1:26" x14ac:dyDescent="0.25">
      <c r="E379" s="49"/>
      <c r="F379" s="50" t="s">
        <v>224</v>
      </c>
      <c r="G379" s="51"/>
      <c r="H379" s="51"/>
      <c r="I379" s="51"/>
      <c r="J379" s="54"/>
      <c r="K379" s="51">
        <v>1000</v>
      </c>
      <c r="L379" s="51"/>
      <c r="M379" s="51"/>
      <c r="N379" s="51"/>
      <c r="O379" s="51"/>
      <c r="P379" s="51">
        <f>K379+SUM(L379:O379)</f>
        <v>1000</v>
      </c>
      <c r="Q379" s="51">
        <v>0</v>
      </c>
      <c r="R379" s="11">
        <f>Q379/$P379</f>
        <v>0</v>
      </c>
      <c r="S379" s="51">
        <v>1000</v>
      </c>
      <c r="T379" s="11">
        <f>S379/$P379</f>
        <v>1</v>
      </c>
      <c r="U379" s="51">
        <v>1000</v>
      </c>
      <c r="V379" s="11">
        <f>U379/$P379</f>
        <v>1</v>
      </c>
      <c r="W379" s="51">
        <v>1000</v>
      </c>
      <c r="X379" s="52">
        <f>W379/$P379</f>
        <v>1</v>
      </c>
      <c r="Y379" s="51"/>
      <c r="Z379" s="53"/>
    </row>
    <row r="380" spans="1:26" x14ac:dyDescent="0.25">
      <c r="E380" s="49"/>
      <c r="F380" s="50" t="s">
        <v>225</v>
      </c>
      <c r="G380" s="51">
        <v>1000</v>
      </c>
      <c r="H380" s="51">
        <v>1000</v>
      </c>
      <c r="I380" s="51">
        <v>3000</v>
      </c>
      <c r="J380" s="54"/>
      <c r="K380" s="51"/>
      <c r="L380" s="51"/>
      <c r="M380" s="51"/>
      <c r="N380" s="51"/>
      <c r="O380" s="51"/>
      <c r="P380" s="51">
        <f>K380+SUM(L380:O380)</f>
        <v>0</v>
      </c>
      <c r="Q380" s="51">
        <v>0</v>
      </c>
      <c r="R380" s="11" t="e">
        <f>Q380/$P380</f>
        <v>#DIV/0!</v>
      </c>
      <c r="S380" s="51">
        <v>0</v>
      </c>
      <c r="T380" s="11" t="e">
        <f>S380/$P380</f>
        <v>#DIV/0!</v>
      </c>
      <c r="U380" s="51">
        <v>0</v>
      </c>
      <c r="V380" s="11" t="e">
        <f>U380/$P380</f>
        <v>#DIV/0!</v>
      </c>
      <c r="W380" s="51">
        <v>0</v>
      </c>
      <c r="X380" s="52" t="e">
        <f>W380/$P380</f>
        <v>#DIV/0!</v>
      </c>
      <c r="Y380" s="51"/>
      <c r="Z380" s="53"/>
    </row>
    <row r="381" spans="1:26" x14ac:dyDescent="0.25">
      <c r="E381" s="57"/>
      <c r="F381" s="70" t="s">
        <v>206</v>
      </c>
      <c r="G381" s="99"/>
      <c r="H381" s="99"/>
      <c r="I381" s="59"/>
      <c r="J381" s="99"/>
      <c r="K381" s="99"/>
      <c r="L381" s="99"/>
      <c r="M381" s="99"/>
      <c r="N381" s="99"/>
      <c r="O381" s="99"/>
      <c r="P381" s="99">
        <f>K381+SUM(L381:O381)</f>
        <v>0</v>
      </c>
      <c r="Q381" s="99">
        <v>0</v>
      </c>
      <c r="R381" s="100" t="e">
        <f>Q381/$P381</f>
        <v>#DIV/0!</v>
      </c>
      <c r="S381" s="99">
        <v>0</v>
      </c>
      <c r="T381" s="100" t="e">
        <f>S381/$P381</f>
        <v>#DIV/0!</v>
      </c>
      <c r="U381" s="99">
        <v>0</v>
      </c>
      <c r="V381" s="100" t="e">
        <f>U381/$P381</f>
        <v>#DIV/0!</v>
      </c>
      <c r="W381" s="99">
        <v>0</v>
      </c>
      <c r="X381" s="101" t="e">
        <f>W381/$P381</f>
        <v>#DIV/0!</v>
      </c>
      <c r="Y381" s="99">
        <v>2500</v>
      </c>
      <c r="Z381" s="62">
        <v>2500</v>
      </c>
    </row>
    <row r="383" spans="1:26" x14ac:dyDescent="0.25">
      <c r="D383" s="26" t="s">
        <v>226</v>
      </c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7"/>
      <c r="S383" s="26"/>
      <c r="T383" s="27"/>
      <c r="U383" s="26"/>
      <c r="V383" s="27"/>
      <c r="W383" s="26"/>
      <c r="X383" s="27"/>
      <c r="Y383" s="26"/>
      <c r="Z383" s="26"/>
    </row>
    <row r="384" spans="1:26" x14ac:dyDescent="0.25">
      <c r="D384" s="15"/>
      <c r="E384" s="15"/>
      <c r="F384" s="15"/>
      <c r="G384" s="16" t="s">
        <v>1</v>
      </c>
      <c r="H384" s="16" t="s">
        <v>2</v>
      </c>
      <c r="I384" s="16" t="s">
        <v>3</v>
      </c>
      <c r="J384" s="16" t="s">
        <v>4</v>
      </c>
      <c r="K384" s="16" t="s">
        <v>5</v>
      </c>
      <c r="L384" s="16" t="s">
        <v>6</v>
      </c>
      <c r="M384" s="16" t="s">
        <v>7</v>
      </c>
      <c r="N384" s="16" t="s">
        <v>8</v>
      </c>
      <c r="O384" s="16" t="s">
        <v>9</v>
      </c>
      <c r="P384" s="16" t="s">
        <v>10</v>
      </c>
      <c r="Q384" s="16" t="s">
        <v>11</v>
      </c>
      <c r="R384" s="17" t="s">
        <v>12</v>
      </c>
      <c r="S384" s="16" t="s">
        <v>13</v>
      </c>
      <c r="T384" s="17" t="s">
        <v>14</v>
      </c>
      <c r="U384" s="16" t="s">
        <v>15</v>
      </c>
      <c r="V384" s="17" t="s">
        <v>16</v>
      </c>
      <c r="W384" s="16" t="s">
        <v>17</v>
      </c>
      <c r="X384" s="17" t="s">
        <v>18</v>
      </c>
      <c r="Y384" s="16" t="s">
        <v>19</v>
      </c>
      <c r="Z384" s="16" t="s">
        <v>20</v>
      </c>
    </row>
    <row r="385" spans="1:26" x14ac:dyDescent="0.25">
      <c r="A385" s="10">
        <v>7</v>
      </c>
      <c r="D385" s="5" t="s">
        <v>21</v>
      </c>
      <c r="E385" s="29">
        <v>111</v>
      </c>
      <c r="F385" s="29" t="s">
        <v>99</v>
      </c>
      <c r="G385" s="30">
        <f t="shared" ref="G385:Q385" si="131">G391+G422+G433</f>
        <v>68965.67</v>
      </c>
      <c r="H385" s="30">
        <f t="shared" si="131"/>
        <v>61211.38</v>
      </c>
      <c r="I385" s="30">
        <f t="shared" si="131"/>
        <v>55300</v>
      </c>
      <c r="J385" s="30">
        <f t="shared" si="131"/>
        <v>52248.660000000011</v>
      </c>
      <c r="K385" s="30">
        <f t="shared" si="131"/>
        <v>48968</v>
      </c>
      <c r="L385" s="30">
        <f t="shared" si="131"/>
        <v>978</v>
      </c>
      <c r="M385" s="30">
        <f t="shared" si="131"/>
        <v>0</v>
      </c>
      <c r="N385" s="30">
        <f t="shared" si="131"/>
        <v>-4738</v>
      </c>
      <c r="O385" s="30">
        <f t="shared" si="131"/>
        <v>-4874</v>
      </c>
      <c r="P385" s="30">
        <f t="shared" si="131"/>
        <v>40334</v>
      </c>
      <c r="Q385" s="30">
        <f t="shared" si="131"/>
        <v>230.16</v>
      </c>
      <c r="R385" s="31">
        <f>Q385/$P385</f>
        <v>5.7063519611246097E-3</v>
      </c>
      <c r="S385" s="30">
        <f>S391+S422+S433</f>
        <v>20641.2</v>
      </c>
      <c r="T385" s="31">
        <f>S385/$P385</f>
        <v>0.51175683046561216</v>
      </c>
      <c r="U385" s="30">
        <f>U391+U422+U433</f>
        <v>30408.300000000003</v>
      </c>
      <c r="V385" s="31">
        <f>U385/$P385</f>
        <v>0.75391233202756991</v>
      </c>
      <c r="W385" s="30">
        <f>W391+W422+W433</f>
        <v>39381.360000000001</v>
      </c>
      <c r="X385" s="31">
        <f>W385/$P385</f>
        <v>0.97638121683939105</v>
      </c>
      <c r="Y385" s="30">
        <f>Y391+Y422+Y433</f>
        <v>48968</v>
      </c>
      <c r="Z385" s="30">
        <f>Z391+Z422+Z433</f>
        <v>48968</v>
      </c>
    </row>
    <row r="386" spans="1:26" x14ac:dyDescent="0.25">
      <c r="A386" s="10">
        <v>7</v>
      </c>
      <c r="D386" s="5"/>
      <c r="E386" s="29">
        <v>41</v>
      </c>
      <c r="F386" s="29" t="s">
        <v>23</v>
      </c>
      <c r="G386" s="30">
        <f t="shared" ref="G386:Q386" si="132">G392+G425+G437</f>
        <v>62988.84</v>
      </c>
      <c r="H386" s="30">
        <f t="shared" si="132"/>
        <v>70685.62</v>
      </c>
      <c r="I386" s="30">
        <f t="shared" si="132"/>
        <v>64503</v>
      </c>
      <c r="J386" s="30">
        <f t="shared" si="132"/>
        <v>57484.89</v>
      </c>
      <c r="K386" s="30">
        <f t="shared" si="132"/>
        <v>53888</v>
      </c>
      <c r="L386" s="30">
        <f t="shared" si="132"/>
        <v>0</v>
      </c>
      <c r="M386" s="30">
        <f t="shared" si="132"/>
        <v>1250</v>
      </c>
      <c r="N386" s="30">
        <f t="shared" si="132"/>
        <v>3652</v>
      </c>
      <c r="O386" s="30">
        <f t="shared" si="132"/>
        <v>-1456</v>
      </c>
      <c r="P386" s="30">
        <f t="shared" si="132"/>
        <v>57334</v>
      </c>
      <c r="Q386" s="30">
        <f t="shared" si="132"/>
        <v>15211.83</v>
      </c>
      <c r="R386" s="31">
        <f>Q386/$P386</f>
        <v>0.26531953116824225</v>
      </c>
      <c r="S386" s="30">
        <f>S392+S425+S437</f>
        <v>22730.130000000005</v>
      </c>
      <c r="T386" s="31">
        <f>S386/$P386</f>
        <v>0.396451145916908</v>
      </c>
      <c r="U386" s="30">
        <f>U392+U425+U437</f>
        <v>31940.140000000003</v>
      </c>
      <c r="V386" s="31">
        <f>U386/$P386</f>
        <v>0.55708898733735657</v>
      </c>
      <c r="W386" s="30">
        <f>W392+W425+W437</f>
        <v>51935.6</v>
      </c>
      <c r="X386" s="31">
        <f>W386/$P386</f>
        <v>0.90584295531447301</v>
      </c>
      <c r="Y386" s="30">
        <f>Y392+Y425+Y437</f>
        <v>49028</v>
      </c>
      <c r="Z386" s="30">
        <f>Z392+Z425+Z437</f>
        <v>50098</v>
      </c>
    </row>
    <row r="387" spans="1:26" x14ac:dyDescent="0.25">
      <c r="A387" s="10">
        <v>7</v>
      </c>
      <c r="D387" s="24"/>
      <c r="E387" s="25"/>
      <c r="F387" s="32" t="s">
        <v>31</v>
      </c>
      <c r="G387" s="33">
        <f t="shared" ref="G387:Q387" si="133">SUM(G385:G386)</f>
        <v>131954.51</v>
      </c>
      <c r="H387" s="33">
        <f t="shared" si="133"/>
        <v>131897</v>
      </c>
      <c r="I387" s="33">
        <f t="shared" si="133"/>
        <v>119803</v>
      </c>
      <c r="J387" s="33">
        <f t="shared" si="133"/>
        <v>109733.55000000002</v>
      </c>
      <c r="K387" s="33">
        <f t="shared" si="133"/>
        <v>102856</v>
      </c>
      <c r="L387" s="33">
        <f t="shared" si="133"/>
        <v>978</v>
      </c>
      <c r="M387" s="33">
        <f t="shared" si="133"/>
        <v>1250</v>
      </c>
      <c r="N387" s="33">
        <f t="shared" si="133"/>
        <v>-1086</v>
      </c>
      <c r="O387" s="33">
        <f t="shared" si="133"/>
        <v>-6330</v>
      </c>
      <c r="P387" s="33">
        <f t="shared" si="133"/>
        <v>97668</v>
      </c>
      <c r="Q387" s="33">
        <f t="shared" si="133"/>
        <v>15441.99</v>
      </c>
      <c r="R387" s="34">
        <f>Q387/$P387</f>
        <v>0.1581069541712741</v>
      </c>
      <c r="S387" s="33">
        <f>SUM(S385:S386)</f>
        <v>43371.33</v>
      </c>
      <c r="T387" s="34">
        <f>S387/$P387</f>
        <v>0.44406898881926526</v>
      </c>
      <c r="U387" s="33">
        <f>SUM(U385:U386)</f>
        <v>62348.44</v>
      </c>
      <c r="V387" s="34">
        <f>U387/$P387</f>
        <v>0.63837121677519759</v>
      </c>
      <c r="W387" s="33">
        <f>SUM(W385:W386)</f>
        <v>91316.959999999992</v>
      </c>
      <c r="X387" s="34">
        <f>W387/$P387</f>
        <v>0.93497317442765282</v>
      </c>
      <c r="Y387" s="33">
        <f>SUM(Y385:Y386)</f>
        <v>97996</v>
      </c>
      <c r="Z387" s="33">
        <f>SUM(Z385:Z386)</f>
        <v>99066</v>
      </c>
    </row>
    <row r="389" spans="1:26" x14ac:dyDescent="0.25">
      <c r="D389" s="35" t="s">
        <v>227</v>
      </c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6"/>
      <c r="S389" s="35"/>
      <c r="T389" s="36"/>
      <c r="U389" s="35"/>
      <c r="V389" s="36"/>
      <c r="W389" s="35"/>
      <c r="X389" s="36"/>
      <c r="Y389" s="35"/>
      <c r="Z389" s="35"/>
    </row>
    <row r="390" spans="1:26" x14ac:dyDescent="0.25">
      <c r="D390" s="93"/>
      <c r="E390" s="93"/>
      <c r="F390" s="93"/>
      <c r="G390" s="16" t="s">
        <v>1</v>
      </c>
      <c r="H390" s="16" t="s">
        <v>2</v>
      </c>
      <c r="I390" s="16" t="s">
        <v>3</v>
      </c>
      <c r="J390" s="16" t="s">
        <v>4</v>
      </c>
      <c r="K390" s="16" t="s">
        <v>5</v>
      </c>
      <c r="L390" s="16" t="s">
        <v>6</v>
      </c>
      <c r="M390" s="16" t="s">
        <v>7</v>
      </c>
      <c r="N390" s="16" t="s">
        <v>8</v>
      </c>
      <c r="O390" s="16" t="s">
        <v>9</v>
      </c>
      <c r="P390" s="16" t="s">
        <v>10</v>
      </c>
      <c r="Q390" s="16" t="s">
        <v>11</v>
      </c>
      <c r="R390" s="17" t="s">
        <v>12</v>
      </c>
      <c r="S390" s="16" t="s">
        <v>13</v>
      </c>
      <c r="T390" s="17" t="s">
        <v>14</v>
      </c>
      <c r="U390" s="16" t="s">
        <v>15</v>
      </c>
      <c r="V390" s="17" t="s">
        <v>16</v>
      </c>
      <c r="W390" s="16" t="s">
        <v>17</v>
      </c>
      <c r="X390" s="17" t="s">
        <v>18</v>
      </c>
      <c r="Y390" s="16" t="s">
        <v>19</v>
      </c>
      <c r="Z390" s="16" t="s">
        <v>20</v>
      </c>
    </row>
    <row r="391" spans="1:26" x14ac:dyDescent="0.25">
      <c r="A391" s="10">
        <v>7</v>
      </c>
      <c r="B391" s="10">
        <v>1</v>
      </c>
      <c r="D391" s="8" t="s">
        <v>21</v>
      </c>
      <c r="E391" s="18">
        <v>111</v>
      </c>
      <c r="F391" s="18" t="s">
        <v>99</v>
      </c>
      <c r="G391" s="19">
        <f t="shared" ref="G391:Q391" si="134">G400</f>
        <v>66983.55</v>
      </c>
      <c r="H391" s="19">
        <f t="shared" si="134"/>
        <v>59591.02</v>
      </c>
      <c r="I391" s="19">
        <f t="shared" si="134"/>
        <v>53700</v>
      </c>
      <c r="J391" s="19">
        <f t="shared" si="134"/>
        <v>50189.540000000008</v>
      </c>
      <c r="K391" s="19">
        <f t="shared" si="134"/>
        <v>38400</v>
      </c>
      <c r="L391" s="19">
        <f t="shared" si="134"/>
        <v>978</v>
      </c>
      <c r="M391" s="19">
        <f t="shared" si="134"/>
        <v>0</v>
      </c>
      <c r="N391" s="19">
        <f t="shared" si="134"/>
        <v>0</v>
      </c>
      <c r="O391" s="19">
        <f t="shared" si="134"/>
        <v>-1009</v>
      </c>
      <c r="P391" s="19">
        <f t="shared" si="134"/>
        <v>38369</v>
      </c>
      <c r="Q391" s="19">
        <f t="shared" si="134"/>
        <v>0</v>
      </c>
      <c r="R391" s="20">
        <f>Q391/$P391</f>
        <v>0</v>
      </c>
      <c r="S391" s="19">
        <f>S400</f>
        <v>20178.36</v>
      </c>
      <c r="T391" s="20">
        <f>S391/$P391</f>
        <v>0.52590268185253719</v>
      </c>
      <c r="U391" s="19">
        <f>U400</f>
        <v>29778.38</v>
      </c>
      <c r="V391" s="20">
        <f>U391/$P391</f>
        <v>0.77610518908493842</v>
      </c>
      <c r="W391" s="19">
        <f>W400</f>
        <v>38347.4</v>
      </c>
      <c r="X391" s="20">
        <f>W391/$P391</f>
        <v>0.999437045531549</v>
      </c>
      <c r="Y391" s="19">
        <f>Y400</f>
        <v>38400</v>
      </c>
      <c r="Z391" s="19">
        <f>Z400</f>
        <v>38400</v>
      </c>
    </row>
    <row r="392" spans="1:26" x14ac:dyDescent="0.25">
      <c r="A392" s="10">
        <v>7</v>
      </c>
      <c r="B392" s="10">
        <v>1</v>
      </c>
      <c r="D392" s="8"/>
      <c r="E392" s="18">
        <v>41</v>
      </c>
      <c r="F392" s="18" t="s">
        <v>23</v>
      </c>
      <c r="G392" s="19">
        <f t="shared" ref="G392:Q392" si="135">G405+G414</f>
        <v>46122.009999999995</v>
      </c>
      <c r="H392" s="19">
        <f t="shared" si="135"/>
        <v>54301.11</v>
      </c>
      <c r="I392" s="19">
        <f t="shared" si="135"/>
        <v>48378</v>
      </c>
      <c r="J392" s="19">
        <f t="shared" si="135"/>
        <v>44149.55</v>
      </c>
      <c r="K392" s="19">
        <f t="shared" si="135"/>
        <v>49620</v>
      </c>
      <c r="L392" s="19">
        <f t="shared" si="135"/>
        <v>0</v>
      </c>
      <c r="M392" s="19">
        <f t="shared" si="135"/>
        <v>1250</v>
      </c>
      <c r="N392" s="19">
        <f t="shared" si="135"/>
        <v>0</v>
      </c>
      <c r="O392" s="19">
        <f t="shared" si="135"/>
        <v>1009</v>
      </c>
      <c r="P392" s="19">
        <f t="shared" si="135"/>
        <v>51879</v>
      </c>
      <c r="Q392" s="19">
        <f t="shared" si="135"/>
        <v>14974.37</v>
      </c>
      <c r="R392" s="20">
        <f>Q392/$P392</f>
        <v>0.28864029761560556</v>
      </c>
      <c r="S392" s="19">
        <f>S405+S414</f>
        <v>21262.590000000004</v>
      </c>
      <c r="T392" s="20">
        <f>S392/$P392</f>
        <v>0.40984965014745856</v>
      </c>
      <c r="U392" s="19">
        <f>U405+U414</f>
        <v>30472.600000000002</v>
      </c>
      <c r="V392" s="20">
        <f>U392/$P392</f>
        <v>0.58737832263536305</v>
      </c>
      <c r="W392" s="19">
        <f>W405+W414</f>
        <v>46980.06</v>
      </c>
      <c r="X392" s="20">
        <f>W392/$P392</f>
        <v>0.90556988376799852</v>
      </c>
      <c r="Y392" s="19">
        <f>Y405+Y414</f>
        <v>44770</v>
      </c>
      <c r="Z392" s="19">
        <f>Z405+Z414</f>
        <v>45830</v>
      </c>
    </row>
    <row r="393" spans="1:26" x14ac:dyDescent="0.25">
      <c r="A393" s="10">
        <v>7</v>
      </c>
      <c r="B393" s="10">
        <v>1</v>
      </c>
      <c r="D393" s="24"/>
      <c r="E393" s="25"/>
      <c r="F393" s="21" t="s">
        <v>31</v>
      </c>
      <c r="G393" s="22">
        <f t="shared" ref="G393:Q393" si="136">SUM(G391:G392)</f>
        <v>113105.56</v>
      </c>
      <c r="H393" s="22">
        <f t="shared" si="136"/>
        <v>113892.13</v>
      </c>
      <c r="I393" s="22">
        <f t="shared" si="136"/>
        <v>102078</v>
      </c>
      <c r="J393" s="22">
        <f t="shared" si="136"/>
        <v>94339.090000000011</v>
      </c>
      <c r="K393" s="22">
        <f t="shared" si="136"/>
        <v>88020</v>
      </c>
      <c r="L393" s="22">
        <f t="shared" si="136"/>
        <v>978</v>
      </c>
      <c r="M393" s="22">
        <f t="shared" si="136"/>
        <v>1250</v>
      </c>
      <c r="N393" s="22">
        <f t="shared" si="136"/>
        <v>0</v>
      </c>
      <c r="O393" s="22">
        <f t="shared" si="136"/>
        <v>0</v>
      </c>
      <c r="P393" s="22">
        <f t="shared" si="136"/>
        <v>90248</v>
      </c>
      <c r="Q393" s="22">
        <f t="shared" si="136"/>
        <v>14974.37</v>
      </c>
      <c r="R393" s="23">
        <f>Q393/$P393</f>
        <v>0.1659246742310079</v>
      </c>
      <c r="S393" s="22">
        <f>SUM(S391:S392)</f>
        <v>41440.950000000004</v>
      </c>
      <c r="T393" s="23">
        <f>S393/$P393</f>
        <v>0.45918967733356975</v>
      </c>
      <c r="U393" s="22">
        <f>SUM(U391:U392)</f>
        <v>60250.98</v>
      </c>
      <c r="V393" s="23">
        <f>U393/$P393</f>
        <v>0.66761568123393322</v>
      </c>
      <c r="W393" s="22">
        <f>SUM(W391:W392)</f>
        <v>85327.459999999992</v>
      </c>
      <c r="X393" s="23">
        <f>W393/$P393</f>
        <v>0.94547757291020296</v>
      </c>
      <c r="Y393" s="22">
        <f>SUM(Y391:Y392)</f>
        <v>83170</v>
      </c>
      <c r="Z393" s="22">
        <f>SUM(Z391:Z392)</f>
        <v>84230</v>
      </c>
    </row>
    <row r="395" spans="1:26" x14ac:dyDescent="0.25">
      <c r="D395" s="65" t="s">
        <v>228</v>
      </c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6"/>
      <c r="S395" s="65"/>
      <c r="T395" s="66"/>
      <c r="U395" s="65"/>
      <c r="V395" s="66"/>
      <c r="W395" s="65"/>
      <c r="X395" s="66"/>
      <c r="Y395" s="65"/>
      <c r="Z395" s="65"/>
    </row>
    <row r="396" spans="1:26" x14ac:dyDescent="0.25">
      <c r="D396" s="16" t="s">
        <v>33</v>
      </c>
      <c r="E396" s="16" t="s">
        <v>34</v>
      </c>
      <c r="F396" s="16" t="s">
        <v>35</v>
      </c>
      <c r="G396" s="16" t="s">
        <v>1</v>
      </c>
      <c r="H396" s="16" t="s">
        <v>2</v>
      </c>
      <c r="I396" s="16" t="s">
        <v>3</v>
      </c>
      <c r="J396" s="16" t="s">
        <v>4</v>
      </c>
      <c r="K396" s="16" t="s">
        <v>5</v>
      </c>
      <c r="L396" s="16" t="s">
        <v>6</v>
      </c>
      <c r="M396" s="16" t="s">
        <v>7</v>
      </c>
      <c r="N396" s="16" t="s">
        <v>8</v>
      </c>
      <c r="O396" s="16" t="s">
        <v>9</v>
      </c>
      <c r="P396" s="16" t="s">
        <v>10</v>
      </c>
      <c r="Q396" s="16" t="s">
        <v>11</v>
      </c>
      <c r="R396" s="17" t="s">
        <v>12</v>
      </c>
      <c r="S396" s="16" t="s">
        <v>13</v>
      </c>
      <c r="T396" s="17" t="s">
        <v>14</v>
      </c>
      <c r="U396" s="16" t="s">
        <v>15</v>
      </c>
      <c r="V396" s="17" t="s">
        <v>16</v>
      </c>
      <c r="W396" s="16" t="s">
        <v>17</v>
      </c>
      <c r="X396" s="17" t="s">
        <v>18</v>
      </c>
      <c r="Y396" s="16" t="s">
        <v>19</v>
      </c>
      <c r="Z396" s="16" t="s">
        <v>20</v>
      </c>
    </row>
    <row r="397" spans="1:26" x14ac:dyDescent="0.25">
      <c r="A397" s="10">
        <v>7</v>
      </c>
      <c r="B397" s="10">
        <v>1</v>
      </c>
      <c r="C397" s="10">
        <v>1</v>
      </c>
      <c r="D397" s="7" t="s">
        <v>229</v>
      </c>
      <c r="E397" s="18">
        <v>610</v>
      </c>
      <c r="F397" s="18" t="s">
        <v>116</v>
      </c>
      <c r="G397" s="19">
        <v>50023.35</v>
      </c>
      <c r="H397" s="19">
        <v>42130.6</v>
      </c>
      <c r="I397" s="19">
        <v>38564</v>
      </c>
      <c r="J397" s="19">
        <v>36294.730000000003</v>
      </c>
      <c r="K397" s="19">
        <v>28455</v>
      </c>
      <c r="L397" s="19"/>
      <c r="M397" s="19"/>
      <c r="N397" s="19"/>
      <c r="O397" s="19">
        <v>-959</v>
      </c>
      <c r="P397" s="19">
        <f>K397+SUM(L397:O397)</f>
        <v>27496</v>
      </c>
      <c r="Q397" s="19">
        <v>0</v>
      </c>
      <c r="R397" s="20">
        <f t="shared" ref="R397:R406" si="137">Q397/$P397</f>
        <v>0</v>
      </c>
      <c r="S397" s="19">
        <v>14235.69</v>
      </c>
      <c r="T397" s="20">
        <f t="shared" ref="T397:T406" si="138">S397/$P397</f>
        <v>0.5177367617107943</v>
      </c>
      <c r="U397" s="19">
        <v>21350.63</v>
      </c>
      <c r="V397" s="20">
        <f t="shared" ref="V397:V406" si="139">U397/$P397</f>
        <v>0.77649949083503056</v>
      </c>
      <c r="W397" s="19">
        <v>27474.49</v>
      </c>
      <c r="X397" s="20">
        <f t="shared" ref="X397:X406" si="140">W397/$P397</f>
        <v>0.99921770439336632</v>
      </c>
      <c r="Y397" s="19">
        <v>28455</v>
      </c>
      <c r="Z397" s="19">
        <v>28455</v>
      </c>
    </row>
    <row r="398" spans="1:26" x14ac:dyDescent="0.25">
      <c r="A398" s="10">
        <v>7</v>
      </c>
      <c r="B398" s="10">
        <v>1</v>
      </c>
      <c r="C398" s="10">
        <v>1</v>
      </c>
      <c r="D398" s="7"/>
      <c r="E398" s="18">
        <v>620</v>
      </c>
      <c r="F398" s="18" t="s">
        <v>117</v>
      </c>
      <c r="G398" s="19">
        <v>16960.2</v>
      </c>
      <c r="H398" s="19">
        <v>14378.06</v>
      </c>
      <c r="I398" s="19">
        <v>13926</v>
      </c>
      <c r="J398" s="19">
        <v>12685.01</v>
      </c>
      <c r="K398" s="19">
        <v>9945</v>
      </c>
      <c r="L398" s="19"/>
      <c r="M398" s="19"/>
      <c r="N398" s="19"/>
      <c r="O398" s="19">
        <v>-50</v>
      </c>
      <c r="P398" s="19">
        <f>K398+SUM(L398:O398)</f>
        <v>9895</v>
      </c>
      <c r="Q398" s="19">
        <v>0</v>
      </c>
      <c r="R398" s="20">
        <f t="shared" si="137"/>
        <v>0</v>
      </c>
      <c r="S398" s="19">
        <v>4964.3100000000004</v>
      </c>
      <c r="T398" s="20">
        <f t="shared" si="138"/>
        <v>0.50169883779686719</v>
      </c>
      <c r="U398" s="19">
        <v>7449.39</v>
      </c>
      <c r="V398" s="20">
        <f t="shared" si="139"/>
        <v>0.75284386053562413</v>
      </c>
      <c r="W398" s="19">
        <v>9894.5499999999993</v>
      </c>
      <c r="X398" s="20">
        <f t="shared" si="140"/>
        <v>0.99995452248610406</v>
      </c>
      <c r="Y398" s="19">
        <v>9945</v>
      </c>
      <c r="Z398" s="19">
        <v>9945</v>
      </c>
    </row>
    <row r="399" spans="1:26" x14ac:dyDescent="0.25">
      <c r="A399" s="10">
        <v>7</v>
      </c>
      <c r="B399" s="10">
        <v>1</v>
      </c>
      <c r="C399" s="10">
        <v>1</v>
      </c>
      <c r="D399" s="7"/>
      <c r="E399" s="18">
        <v>630</v>
      </c>
      <c r="F399" s="18" t="s">
        <v>118</v>
      </c>
      <c r="G399" s="19">
        <v>0</v>
      </c>
      <c r="H399" s="19">
        <v>3082.36</v>
      </c>
      <c r="I399" s="19">
        <v>1210</v>
      </c>
      <c r="J399" s="19">
        <v>1209.8</v>
      </c>
      <c r="K399" s="19">
        <v>0</v>
      </c>
      <c r="L399" s="19">
        <v>978</v>
      </c>
      <c r="M399" s="19"/>
      <c r="N399" s="19"/>
      <c r="O399" s="19"/>
      <c r="P399" s="19">
        <f>K399+SUM(L399:O399)</f>
        <v>978</v>
      </c>
      <c r="Q399" s="19">
        <v>0</v>
      </c>
      <c r="R399" s="20">
        <f t="shared" si="137"/>
        <v>0</v>
      </c>
      <c r="S399" s="19">
        <v>978.36</v>
      </c>
      <c r="T399" s="20">
        <f t="shared" si="138"/>
        <v>1.0003680981595091</v>
      </c>
      <c r="U399" s="19">
        <v>978.36</v>
      </c>
      <c r="V399" s="20">
        <f t="shared" si="139"/>
        <v>1.0003680981595091</v>
      </c>
      <c r="W399" s="19">
        <v>978.36</v>
      </c>
      <c r="X399" s="20">
        <f t="shared" si="140"/>
        <v>1.0003680981595091</v>
      </c>
      <c r="Y399" s="19">
        <v>0</v>
      </c>
      <c r="Z399" s="19">
        <v>0</v>
      </c>
    </row>
    <row r="400" spans="1:26" x14ac:dyDescent="0.25">
      <c r="A400" s="10">
        <v>7</v>
      </c>
      <c r="B400" s="10">
        <v>1</v>
      </c>
      <c r="C400" s="10">
        <v>1</v>
      </c>
      <c r="D400" s="80" t="s">
        <v>97</v>
      </c>
      <c r="E400" s="81">
        <v>111</v>
      </c>
      <c r="F400" s="81" t="s">
        <v>139</v>
      </c>
      <c r="G400" s="82">
        <f t="shared" ref="G400:Q400" si="141">SUM(G397:G399)</f>
        <v>66983.55</v>
      </c>
      <c r="H400" s="82">
        <f t="shared" si="141"/>
        <v>59591.02</v>
      </c>
      <c r="I400" s="82">
        <f t="shared" si="141"/>
        <v>53700</v>
      </c>
      <c r="J400" s="82">
        <f t="shared" si="141"/>
        <v>50189.540000000008</v>
      </c>
      <c r="K400" s="82">
        <f t="shared" si="141"/>
        <v>38400</v>
      </c>
      <c r="L400" s="82">
        <f t="shared" si="141"/>
        <v>978</v>
      </c>
      <c r="M400" s="82">
        <f t="shared" si="141"/>
        <v>0</v>
      </c>
      <c r="N400" s="82">
        <f t="shared" si="141"/>
        <v>0</v>
      </c>
      <c r="O400" s="82">
        <f t="shared" si="141"/>
        <v>-1009</v>
      </c>
      <c r="P400" s="82">
        <f t="shared" si="141"/>
        <v>38369</v>
      </c>
      <c r="Q400" s="82">
        <f t="shared" si="141"/>
        <v>0</v>
      </c>
      <c r="R400" s="83">
        <f t="shared" si="137"/>
        <v>0</v>
      </c>
      <c r="S400" s="82">
        <f>SUM(S397:S399)</f>
        <v>20178.36</v>
      </c>
      <c r="T400" s="83">
        <f t="shared" si="138"/>
        <v>0.52590268185253719</v>
      </c>
      <c r="U400" s="82">
        <f>SUM(U397:U399)</f>
        <v>29778.38</v>
      </c>
      <c r="V400" s="83">
        <f t="shared" si="139"/>
        <v>0.77610518908493842</v>
      </c>
      <c r="W400" s="82">
        <f>SUM(W397:W399)</f>
        <v>38347.4</v>
      </c>
      <c r="X400" s="83">
        <f t="shared" si="140"/>
        <v>0.999437045531549</v>
      </c>
      <c r="Y400" s="82">
        <f>SUM(Y397:Y399)</f>
        <v>38400</v>
      </c>
      <c r="Z400" s="82">
        <f>SUM(Z397:Z399)</f>
        <v>38400</v>
      </c>
    </row>
    <row r="401" spans="1:26" x14ac:dyDescent="0.25">
      <c r="A401" s="10">
        <v>7</v>
      </c>
      <c r="B401" s="10">
        <v>1</v>
      </c>
      <c r="C401" s="10">
        <v>1</v>
      </c>
      <c r="D401" s="7" t="s">
        <v>229</v>
      </c>
      <c r="E401" s="18">
        <v>610</v>
      </c>
      <c r="F401" s="18" t="s">
        <v>116</v>
      </c>
      <c r="G401" s="19">
        <v>15875.19</v>
      </c>
      <c r="H401" s="19">
        <v>24014.29</v>
      </c>
      <c r="I401" s="19">
        <v>19784</v>
      </c>
      <c r="J401" s="19">
        <v>17516.8</v>
      </c>
      <c r="K401" s="19">
        <v>20507</v>
      </c>
      <c r="L401" s="19"/>
      <c r="M401" s="19"/>
      <c r="N401" s="19">
        <v>-138</v>
      </c>
      <c r="O401" s="19">
        <v>-1551</v>
      </c>
      <c r="P401" s="19">
        <f>K401+SUM(L401:O401)</f>
        <v>18818</v>
      </c>
      <c r="Q401" s="19">
        <f>8022.74+450</f>
        <v>8472.74</v>
      </c>
      <c r="R401" s="20">
        <f t="shared" si="137"/>
        <v>0.45024657243065147</v>
      </c>
      <c r="S401" s="19">
        <v>8682.73</v>
      </c>
      <c r="T401" s="20">
        <f t="shared" si="138"/>
        <v>0.46140556913593367</v>
      </c>
      <c r="U401" s="19">
        <v>12309.85</v>
      </c>
      <c r="V401" s="20">
        <f t="shared" si="139"/>
        <v>0.65415293867573598</v>
      </c>
      <c r="W401" s="19">
        <v>18802.14</v>
      </c>
      <c r="X401" s="20">
        <f t="shared" si="140"/>
        <v>0.99915718992454028</v>
      </c>
      <c r="Y401" s="19">
        <v>19493</v>
      </c>
      <c r="Z401" s="19">
        <v>20221</v>
      </c>
    </row>
    <row r="402" spans="1:26" x14ac:dyDescent="0.25">
      <c r="A402" s="10">
        <v>7</v>
      </c>
      <c r="B402" s="10">
        <v>1</v>
      </c>
      <c r="C402" s="10">
        <v>1</v>
      </c>
      <c r="D402" s="7"/>
      <c r="E402" s="18">
        <v>620</v>
      </c>
      <c r="F402" s="18" t="s">
        <v>117</v>
      </c>
      <c r="G402" s="19">
        <v>5500.2</v>
      </c>
      <c r="H402" s="19">
        <v>8383.1</v>
      </c>
      <c r="I402" s="19">
        <v>6286</v>
      </c>
      <c r="J402" s="19">
        <v>5988.15</v>
      </c>
      <c r="K402" s="19">
        <v>8691</v>
      </c>
      <c r="L402" s="19"/>
      <c r="M402" s="19"/>
      <c r="N402" s="19"/>
      <c r="O402" s="19">
        <v>-1343</v>
      </c>
      <c r="P402" s="19">
        <f>K402+SUM(L402:O402)</f>
        <v>7348</v>
      </c>
      <c r="Q402" s="19">
        <v>3016.18</v>
      </c>
      <c r="R402" s="20">
        <f t="shared" si="137"/>
        <v>0.4104763200870985</v>
      </c>
      <c r="S402" s="19">
        <v>3626.41</v>
      </c>
      <c r="T402" s="20">
        <f t="shared" si="138"/>
        <v>0.49352340772999453</v>
      </c>
      <c r="U402" s="19">
        <v>5118.24</v>
      </c>
      <c r="V402" s="20">
        <f t="shared" si="139"/>
        <v>0.69654872074033747</v>
      </c>
      <c r="W402" s="19">
        <v>7347.28</v>
      </c>
      <c r="X402" s="20">
        <f t="shared" si="140"/>
        <v>0.9999020141535111</v>
      </c>
      <c r="Y402" s="19">
        <v>7772</v>
      </c>
      <c r="Z402" s="19">
        <v>8040</v>
      </c>
    </row>
    <row r="403" spans="1:26" x14ac:dyDescent="0.25">
      <c r="A403" s="10">
        <v>7</v>
      </c>
      <c r="B403" s="10">
        <v>1</v>
      </c>
      <c r="C403" s="10">
        <v>1</v>
      </c>
      <c r="D403" s="7"/>
      <c r="E403" s="18">
        <v>630</v>
      </c>
      <c r="F403" s="18" t="s">
        <v>118</v>
      </c>
      <c r="G403" s="19">
        <v>18055.650000000001</v>
      </c>
      <c r="H403" s="19">
        <v>15031.72</v>
      </c>
      <c r="I403" s="19">
        <v>15308</v>
      </c>
      <c r="J403" s="19">
        <v>14092.54</v>
      </c>
      <c r="K403" s="19">
        <v>11073</v>
      </c>
      <c r="L403" s="19"/>
      <c r="M403" s="19">
        <v>1250</v>
      </c>
      <c r="N403" s="19"/>
      <c r="O403" s="19">
        <v>2122</v>
      </c>
      <c r="P403" s="19">
        <f>K403+SUM(L403:O403)</f>
        <v>14445</v>
      </c>
      <c r="Q403" s="19">
        <v>2301.0500000000002</v>
      </c>
      <c r="R403" s="20">
        <f t="shared" si="137"/>
        <v>0.15929733471789548</v>
      </c>
      <c r="S403" s="19">
        <v>6300.65</v>
      </c>
      <c r="T403" s="20">
        <f t="shared" si="138"/>
        <v>0.43618206992038766</v>
      </c>
      <c r="U403" s="19">
        <v>9045.48</v>
      </c>
      <c r="V403" s="20">
        <f t="shared" si="139"/>
        <v>0.62620145379023884</v>
      </c>
      <c r="W403" s="19">
        <v>13927.4</v>
      </c>
      <c r="X403" s="20">
        <f t="shared" si="140"/>
        <v>0.96416753201799932</v>
      </c>
      <c r="Y403" s="19">
        <v>10505</v>
      </c>
      <c r="Z403" s="19">
        <v>10569</v>
      </c>
    </row>
    <row r="404" spans="1:26" x14ac:dyDescent="0.25">
      <c r="A404" s="10">
        <v>7</v>
      </c>
      <c r="B404" s="10">
        <v>1</v>
      </c>
      <c r="C404" s="10">
        <v>1</v>
      </c>
      <c r="D404" s="7"/>
      <c r="E404" s="18">
        <v>640</v>
      </c>
      <c r="F404" s="18" t="s">
        <v>119</v>
      </c>
      <c r="G404" s="19">
        <v>394.81</v>
      </c>
      <c r="H404" s="19">
        <v>253.82</v>
      </c>
      <c r="I404" s="19">
        <v>0</v>
      </c>
      <c r="J404" s="19">
        <v>796.19</v>
      </c>
      <c r="K404" s="19">
        <v>2349</v>
      </c>
      <c r="L404" s="19"/>
      <c r="M404" s="19"/>
      <c r="N404" s="19">
        <v>138</v>
      </c>
      <c r="O404" s="19">
        <v>1781</v>
      </c>
      <c r="P404" s="19">
        <f>K404+SUM(L404:O404)</f>
        <v>4268</v>
      </c>
      <c r="Q404" s="19">
        <v>0</v>
      </c>
      <c r="R404" s="20">
        <f t="shared" si="137"/>
        <v>0</v>
      </c>
      <c r="S404" s="19">
        <v>205.04</v>
      </c>
      <c r="T404" s="20">
        <f t="shared" si="138"/>
        <v>4.8041237113402059E-2</v>
      </c>
      <c r="U404" s="19">
        <v>342.63</v>
      </c>
      <c r="V404" s="20">
        <f t="shared" si="139"/>
        <v>8.0278819119025305E-2</v>
      </c>
      <c r="W404" s="19">
        <v>342.63</v>
      </c>
      <c r="X404" s="20">
        <f t="shared" si="140"/>
        <v>8.0278819119025305E-2</v>
      </c>
      <c r="Y404" s="19">
        <v>0</v>
      </c>
      <c r="Z404" s="19">
        <v>0</v>
      </c>
    </row>
    <row r="405" spans="1:26" x14ac:dyDescent="0.25">
      <c r="A405" s="10">
        <v>7</v>
      </c>
      <c r="B405" s="10">
        <v>1</v>
      </c>
      <c r="C405" s="10">
        <v>1</v>
      </c>
      <c r="D405" s="80" t="s">
        <v>97</v>
      </c>
      <c r="E405" s="81">
        <v>41</v>
      </c>
      <c r="F405" s="81" t="s">
        <v>56</v>
      </c>
      <c r="G405" s="82">
        <f t="shared" ref="G405:Q405" si="142">SUM(G401:G404)</f>
        <v>39825.85</v>
      </c>
      <c r="H405" s="82">
        <f t="shared" si="142"/>
        <v>47682.93</v>
      </c>
      <c r="I405" s="82">
        <f t="shared" si="142"/>
        <v>41378</v>
      </c>
      <c r="J405" s="82">
        <f t="shared" si="142"/>
        <v>38393.68</v>
      </c>
      <c r="K405" s="82">
        <f t="shared" si="142"/>
        <v>42620</v>
      </c>
      <c r="L405" s="82">
        <f t="shared" si="142"/>
        <v>0</v>
      </c>
      <c r="M405" s="82">
        <f t="shared" si="142"/>
        <v>1250</v>
      </c>
      <c r="N405" s="82">
        <f t="shared" si="142"/>
        <v>0</v>
      </c>
      <c r="O405" s="82">
        <f t="shared" si="142"/>
        <v>1009</v>
      </c>
      <c r="P405" s="82">
        <f t="shared" si="142"/>
        <v>44879</v>
      </c>
      <c r="Q405" s="82">
        <f t="shared" si="142"/>
        <v>13789.970000000001</v>
      </c>
      <c r="R405" s="83">
        <f t="shared" si="137"/>
        <v>0.30726999264689503</v>
      </c>
      <c r="S405" s="82">
        <f>SUM(S401:S404)</f>
        <v>18814.830000000002</v>
      </c>
      <c r="T405" s="83">
        <f t="shared" si="138"/>
        <v>0.41923460861427397</v>
      </c>
      <c r="U405" s="82">
        <f>SUM(U401:U404)</f>
        <v>26816.2</v>
      </c>
      <c r="V405" s="83">
        <f t="shared" si="139"/>
        <v>0.59752222643107022</v>
      </c>
      <c r="W405" s="82">
        <f>SUM(W401:W404)</f>
        <v>40419.449999999997</v>
      </c>
      <c r="X405" s="83">
        <f t="shared" si="140"/>
        <v>0.90063169856725855</v>
      </c>
      <c r="Y405" s="82">
        <f>SUM(Y401:Y404)</f>
        <v>37770</v>
      </c>
      <c r="Z405" s="82">
        <f>SUM(Z401:Z404)</f>
        <v>38830</v>
      </c>
    </row>
    <row r="406" spans="1:26" x14ac:dyDescent="0.25">
      <c r="A406" s="10">
        <v>7</v>
      </c>
      <c r="B406" s="10">
        <v>1</v>
      </c>
      <c r="C406" s="10">
        <v>1</v>
      </c>
      <c r="D406" s="24"/>
      <c r="E406" s="25"/>
      <c r="F406" s="21" t="s">
        <v>31</v>
      </c>
      <c r="G406" s="22">
        <f t="shared" ref="G406:Q406" si="143">G400+G405</f>
        <v>106809.4</v>
      </c>
      <c r="H406" s="22">
        <f t="shared" si="143"/>
        <v>107273.95</v>
      </c>
      <c r="I406" s="22">
        <f t="shared" si="143"/>
        <v>95078</v>
      </c>
      <c r="J406" s="22">
        <f t="shared" si="143"/>
        <v>88583.22</v>
      </c>
      <c r="K406" s="22">
        <f t="shared" si="143"/>
        <v>81020</v>
      </c>
      <c r="L406" s="22">
        <f t="shared" si="143"/>
        <v>978</v>
      </c>
      <c r="M406" s="22">
        <f t="shared" si="143"/>
        <v>1250</v>
      </c>
      <c r="N406" s="22">
        <f t="shared" si="143"/>
        <v>0</v>
      </c>
      <c r="O406" s="22">
        <f t="shared" si="143"/>
        <v>0</v>
      </c>
      <c r="P406" s="22">
        <f t="shared" si="143"/>
        <v>83248</v>
      </c>
      <c r="Q406" s="22">
        <f t="shared" si="143"/>
        <v>13789.970000000001</v>
      </c>
      <c r="R406" s="23">
        <f t="shared" si="137"/>
        <v>0.16564926484720355</v>
      </c>
      <c r="S406" s="22">
        <f>S400+S405</f>
        <v>38993.19</v>
      </c>
      <c r="T406" s="23">
        <f t="shared" si="138"/>
        <v>0.46839791946953685</v>
      </c>
      <c r="U406" s="22">
        <f>U400+U405</f>
        <v>56594.58</v>
      </c>
      <c r="V406" s="23">
        <f t="shared" si="139"/>
        <v>0.67983110705362293</v>
      </c>
      <c r="W406" s="22">
        <f>W400+W405</f>
        <v>78766.850000000006</v>
      </c>
      <c r="X406" s="23">
        <f t="shared" si="140"/>
        <v>0.94617107918508558</v>
      </c>
      <c r="Y406" s="22">
        <f>Y400+Y405</f>
        <v>76170</v>
      </c>
      <c r="Z406" s="22">
        <f>Z400+Z405</f>
        <v>77230</v>
      </c>
    </row>
    <row r="408" spans="1:26" x14ac:dyDescent="0.25">
      <c r="E408" s="44" t="s">
        <v>57</v>
      </c>
      <c r="F408" s="24" t="s">
        <v>133</v>
      </c>
      <c r="G408" s="45">
        <v>2054.14</v>
      </c>
      <c r="H408" s="45">
        <v>2618.7800000000002</v>
      </c>
      <c r="I408" s="45">
        <v>2739</v>
      </c>
      <c r="J408" s="45">
        <v>2739</v>
      </c>
      <c r="K408" s="45">
        <v>2700</v>
      </c>
      <c r="L408" s="45">
        <v>324</v>
      </c>
      <c r="M408" s="45"/>
      <c r="N408" s="45"/>
      <c r="O408" s="45"/>
      <c r="P408" s="45">
        <f>K408+SUM(L408:O408)</f>
        <v>3024</v>
      </c>
      <c r="Q408" s="45">
        <v>423.98</v>
      </c>
      <c r="R408" s="46">
        <f>Q408/$P408</f>
        <v>0.14020502645502647</v>
      </c>
      <c r="S408" s="45">
        <v>1463.98</v>
      </c>
      <c r="T408" s="46">
        <f>S408/$P408</f>
        <v>0.48412037037037037</v>
      </c>
      <c r="U408" s="45">
        <v>2243.98</v>
      </c>
      <c r="V408" s="46">
        <f>U408/$P408</f>
        <v>0.74205687830687828</v>
      </c>
      <c r="W408" s="45">
        <v>3023.98</v>
      </c>
      <c r="X408" s="47">
        <f>W408/$P408</f>
        <v>0.9999933862433863</v>
      </c>
      <c r="Y408" s="45">
        <f>K408</f>
        <v>2700</v>
      </c>
      <c r="Z408" s="48">
        <f>K408</f>
        <v>2700</v>
      </c>
    </row>
    <row r="409" spans="1:26" x14ac:dyDescent="0.25">
      <c r="E409" s="57"/>
      <c r="F409" s="70" t="s">
        <v>230</v>
      </c>
      <c r="G409" s="59">
        <v>3607.36</v>
      </c>
      <c r="H409" s="59">
        <v>3393.36</v>
      </c>
      <c r="I409" s="59">
        <v>3600</v>
      </c>
      <c r="J409" s="59">
        <v>2405.54</v>
      </c>
      <c r="K409" s="59">
        <v>500</v>
      </c>
      <c r="L409" s="59">
        <v>-424</v>
      </c>
      <c r="M409" s="59">
        <v>-76</v>
      </c>
      <c r="N409" s="59"/>
      <c r="O409" s="59"/>
      <c r="P409" s="59">
        <f>K409+SUM(L409:O409)</f>
        <v>0</v>
      </c>
      <c r="Q409" s="59">
        <v>0</v>
      </c>
      <c r="R409" s="60" t="e">
        <f>Q409/$P409</f>
        <v>#DIV/0!</v>
      </c>
      <c r="S409" s="59">
        <v>0</v>
      </c>
      <c r="T409" s="60" t="e">
        <f>S409/$P409</f>
        <v>#DIV/0!</v>
      </c>
      <c r="U409" s="59">
        <v>0</v>
      </c>
      <c r="V409" s="60" t="e">
        <f>U409/$P409</f>
        <v>#DIV/0!</v>
      </c>
      <c r="W409" s="59">
        <v>0</v>
      </c>
      <c r="X409" s="61" t="e">
        <f>W409/$P409</f>
        <v>#DIV/0!</v>
      </c>
      <c r="Y409" s="59">
        <v>0</v>
      </c>
      <c r="Z409" s="62">
        <v>0</v>
      </c>
    </row>
    <row r="411" spans="1:26" x14ac:dyDescent="0.25">
      <c r="D411" s="65" t="s">
        <v>231</v>
      </c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6"/>
      <c r="S411" s="65"/>
      <c r="T411" s="66"/>
      <c r="U411" s="65"/>
      <c r="V411" s="66"/>
      <c r="W411" s="65"/>
      <c r="X411" s="66"/>
      <c r="Y411" s="65"/>
      <c r="Z411" s="65"/>
    </row>
    <row r="412" spans="1:26" x14ac:dyDescent="0.25">
      <c r="D412" s="16" t="s">
        <v>33</v>
      </c>
      <c r="E412" s="16" t="s">
        <v>34</v>
      </c>
      <c r="F412" s="16" t="s">
        <v>35</v>
      </c>
      <c r="G412" s="16" t="s">
        <v>1</v>
      </c>
      <c r="H412" s="16" t="s">
        <v>2</v>
      </c>
      <c r="I412" s="16" t="s">
        <v>3</v>
      </c>
      <c r="J412" s="16" t="s">
        <v>4</v>
      </c>
      <c r="K412" s="16" t="s">
        <v>5</v>
      </c>
      <c r="L412" s="16" t="s">
        <v>6</v>
      </c>
      <c r="M412" s="16" t="s">
        <v>7</v>
      </c>
      <c r="N412" s="16" t="s">
        <v>8</v>
      </c>
      <c r="O412" s="16" t="s">
        <v>9</v>
      </c>
      <c r="P412" s="16" t="s">
        <v>10</v>
      </c>
      <c r="Q412" s="16" t="s">
        <v>11</v>
      </c>
      <c r="R412" s="17" t="s">
        <v>12</v>
      </c>
      <c r="S412" s="16" t="s">
        <v>13</v>
      </c>
      <c r="T412" s="17" t="s">
        <v>14</v>
      </c>
      <c r="U412" s="16" t="s">
        <v>15</v>
      </c>
      <c r="V412" s="17" t="s">
        <v>16</v>
      </c>
      <c r="W412" s="16" t="s">
        <v>17</v>
      </c>
      <c r="X412" s="17" t="s">
        <v>18</v>
      </c>
      <c r="Y412" s="16" t="s">
        <v>19</v>
      </c>
      <c r="Z412" s="16" t="s">
        <v>20</v>
      </c>
    </row>
    <row r="413" spans="1:26" x14ac:dyDescent="0.25">
      <c r="A413" s="10">
        <v>7</v>
      </c>
      <c r="B413" s="10">
        <v>1</v>
      </c>
      <c r="C413" s="10">
        <v>2</v>
      </c>
      <c r="D413" s="40" t="s">
        <v>229</v>
      </c>
      <c r="E413" s="18">
        <v>630</v>
      </c>
      <c r="F413" s="18" t="s">
        <v>118</v>
      </c>
      <c r="G413" s="19">
        <v>6296.16</v>
      </c>
      <c r="H413" s="19">
        <v>6618.18</v>
      </c>
      <c r="I413" s="19">
        <v>7000</v>
      </c>
      <c r="J413" s="19">
        <v>5755.87</v>
      </c>
      <c r="K413" s="19">
        <v>7000</v>
      </c>
      <c r="L413" s="19"/>
      <c r="M413" s="19"/>
      <c r="N413" s="19"/>
      <c r="O413" s="19"/>
      <c r="P413" s="19">
        <f>K413+SUM(L413:O413)</f>
        <v>7000</v>
      </c>
      <c r="Q413" s="19">
        <v>1184.4000000000001</v>
      </c>
      <c r="R413" s="20">
        <f>Q413/$P413</f>
        <v>0.16920000000000002</v>
      </c>
      <c r="S413" s="19">
        <v>2447.7600000000002</v>
      </c>
      <c r="T413" s="20">
        <f>S413/$P413</f>
        <v>0.34968000000000005</v>
      </c>
      <c r="U413" s="19">
        <v>3656.4</v>
      </c>
      <c r="V413" s="20">
        <f>U413/$P413</f>
        <v>0.52234285714285711</v>
      </c>
      <c r="W413" s="19">
        <v>6560.61</v>
      </c>
      <c r="X413" s="20">
        <f>W413/$P413</f>
        <v>0.93723000000000001</v>
      </c>
      <c r="Y413" s="19">
        <f>K413</f>
        <v>7000</v>
      </c>
      <c r="Z413" s="19">
        <f>Y413</f>
        <v>7000</v>
      </c>
    </row>
    <row r="414" spans="1:26" x14ac:dyDescent="0.25">
      <c r="A414" s="10">
        <v>7</v>
      </c>
      <c r="B414" s="10">
        <v>1</v>
      </c>
      <c r="C414" s="10">
        <v>2</v>
      </c>
      <c r="D414" s="69" t="s">
        <v>97</v>
      </c>
      <c r="E414" s="21">
        <v>41</v>
      </c>
      <c r="F414" s="21" t="s">
        <v>56</v>
      </c>
      <c r="G414" s="22">
        <f t="shared" ref="G414:Q414" si="144">SUM(G413:G413)</f>
        <v>6296.16</v>
      </c>
      <c r="H414" s="22">
        <f t="shared" si="144"/>
        <v>6618.18</v>
      </c>
      <c r="I414" s="22">
        <f t="shared" si="144"/>
        <v>7000</v>
      </c>
      <c r="J414" s="22">
        <f t="shared" si="144"/>
        <v>5755.87</v>
      </c>
      <c r="K414" s="22">
        <f t="shared" si="144"/>
        <v>7000</v>
      </c>
      <c r="L414" s="22">
        <f t="shared" si="144"/>
        <v>0</v>
      </c>
      <c r="M414" s="22">
        <f t="shared" si="144"/>
        <v>0</v>
      </c>
      <c r="N414" s="22">
        <f t="shared" si="144"/>
        <v>0</v>
      </c>
      <c r="O414" s="22">
        <f t="shared" si="144"/>
        <v>0</v>
      </c>
      <c r="P414" s="22">
        <f t="shared" si="144"/>
        <v>7000</v>
      </c>
      <c r="Q414" s="22">
        <f t="shared" si="144"/>
        <v>1184.4000000000001</v>
      </c>
      <c r="R414" s="23">
        <f>Q414/$P414</f>
        <v>0.16920000000000002</v>
      </c>
      <c r="S414" s="22">
        <f>SUM(S413:S413)</f>
        <v>2447.7600000000002</v>
      </c>
      <c r="T414" s="23">
        <f>S414/$P414</f>
        <v>0.34968000000000005</v>
      </c>
      <c r="U414" s="22">
        <f>SUM(U413:U413)</f>
        <v>3656.4</v>
      </c>
      <c r="V414" s="23">
        <f>U414/$P414</f>
        <v>0.52234285714285711</v>
      </c>
      <c r="W414" s="22">
        <f>SUM(W413:W413)</f>
        <v>6560.61</v>
      </c>
      <c r="X414" s="23">
        <f>W414/$P414</f>
        <v>0.93723000000000001</v>
      </c>
      <c r="Y414" s="22">
        <f>SUM(Y413:Y413)</f>
        <v>7000</v>
      </c>
      <c r="Z414" s="22">
        <f>SUM(Z413:Z413)</f>
        <v>7000</v>
      </c>
    </row>
    <row r="416" spans="1:26" x14ac:dyDescent="0.25">
      <c r="E416" s="73" t="s">
        <v>57</v>
      </c>
      <c r="F416" s="74" t="s">
        <v>232</v>
      </c>
      <c r="G416" s="75">
        <v>5458.56</v>
      </c>
      <c r="H416" s="75">
        <v>5075.54</v>
      </c>
      <c r="I416" s="75">
        <v>5500</v>
      </c>
      <c r="J416" s="75">
        <v>4917.42</v>
      </c>
      <c r="K416" s="75">
        <f>5000</f>
        <v>5000</v>
      </c>
      <c r="L416" s="75"/>
      <c r="M416" s="75"/>
      <c r="N416" s="75"/>
      <c r="O416" s="75"/>
      <c r="P416" s="75">
        <f>K416+SUM(L416:O416)</f>
        <v>5000</v>
      </c>
      <c r="Q416" s="75">
        <v>1184.4000000000001</v>
      </c>
      <c r="R416" s="76">
        <f>Q416/$P416</f>
        <v>0.23688000000000001</v>
      </c>
      <c r="S416" s="75">
        <v>2447.7600000000002</v>
      </c>
      <c r="T416" s="76">
        <f>S416/$P416</f>
        <v>0.48955200000000004</v>
      </c>
      <c r="U416" s="75">
        <v>3656.4</v>
      </c>
      <c r="V416" s="76">
        <f>U416/$P416</f>
        <v>0.73128000000000004</v>
      </c>
      <c r="W416" s="75">
        <v>4812.72</v>
      </c>
      <c r="X416" s="77">
        <f>W416/$P416</f>
        <v>0.96254400000000007</v>
      </c>
      <c r="Y416" s="75">
        <f>K416</f>
        <v>5000</v>
      </c>
      <c r="Z416" s="78">
        <f>K416</f>
        <v>5000</v>
      </c>
    </row>
    <row r="418" spans="1:26" x14ac:dyDescent="0.25">
      <c r="D418" s="35" t="s">
        <v>233</v>
      </c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6"/>
      <c r="S418" s="35"/>
      <c r="T418" s="36"/>
      <c r="U418" s="35"/>
      <c r="V418" s="36"/>
      <c r="W418" s="35"/>
      <c r="X418" s="36"/>
      <c r="Y418" s="35"/>
      <c r="Z418" s="35"/>
    </row>
    <row r="419" spans="1:26" x14ac:dyDescent="0.25">
      <c r="D419" s="16" t="s">
        <v>33</v>
      </c>
      <c r="E419" s="16" t="s">
        <v>34</v>
      </c>
      <c r="F419" s="16" t="s">
        <v>35</v>
      </c>
      <c r="G419" s="16" t="s">
        <v>1</v>
      </c>
      <c r="H419" s="16" t="s">
        <v>2</v>
      </c>
      <c r="I419" s="16" t="s">
        <v>3</v>
      </c>
      <c r="J419" s="16" t="s">
        <v>4</v>
      </c>
      <c r="K419" s="16" t="s">
        <v>5</v>
      </c>
      <c r="L419" s="16" t="s">
        <v>6</v>
      </c>
      <c r="M419" s="16" t="s">
        <v>7</v>
      </c>
      <c r="N419" s="16" t="s">
        <v>8</v>
      </c>
      <c r="O419" s="16" t="s">
        <v>9</v>
      </c>
      <c r="P419" s="16" t="s">
        <v>10</v>
      </c>
      <c r="Q419" s="16" t="s">
        <v>11</v>
      </c>
      <c r="R419" s="17" t="s">
        <v>12</v>
      </c>
      <c r="S419" s="16" t="s">
        <v>13</v>
      </c>
      <c r="T419" s="17" t="s">
        <v>14</v>
      </c>
      <c r="U419" s="16" t="s">
        <v>15</v>
      </c>
      <c r="V419" s="17" t="s">
        <v>16</v>
      </c>
      <c r="W419" s="16" t="s">
        <v>17</v>
      </c>
      <c r="X419" s="17" t="s">
        <v>18</v>
      </c>
      <c r="Y419" s="16" t="s">
        <v>19</v>
      </c>
      <c r="Z419" s="16" t="s">
        <v>20</v>
      </c>
    </row>
    <row r="420" spans="1:26" x14ac:dyDescent="0.25">
      <c r="A420" s="10">
        <v>7</v>
      </c>
      <c r="B420" s="10">
        <v>2</v>
      </c>
      <c r="D420" s="79" t="s">
        <v>234</v>
      </c>
      <c r="E420" s="18">
        <v>640</v>
      </c>
      <c r="F420" s="18" t="s">
        <v>119</v>
      </c>
      <c r="G420" s="19">
        <v>1982.12</v>
      </c>
      <c r="H420" s="19">
        <v>1620.36</v>
      </c>
      <c r="I420" s="19">
        <v>1600</v>
      </c>
      <c r="J420" s="19">
        <v>1317.12</v>
      </c>
      <c r="K420" s="19">
        <v>1300</v>
      </c>
      <c r="L420" s="19"/>
      <c r="M420" s="19"/>
      <c r="N420" s="19"/>
      <c r="O420" s="19"/>
      <c r="P420" s="19">
        <f>K420+SUM(L420:O420)</f>
        <v>1300</v>
      </c>
      <c r="Q420" s="19">
        <v>188.16</v>
      </c>
      <c r="R420" s="20">
        <f t="shared" ref="R420:R426" si="145">Q420/$P420</f>
        <v>0.14473846153846154</v>
      </c>
      <c r="S420" s="19">
        <v>399.84</v>
      </c>
      <c r="T420" s="20">
        <f t="shared" ref="T420:T426" si="146">S420/$P420</f>
        <v>0.30756923076923076</v>
      </c>
      <c r="U420" s="19">
        <v>493.92</v>
      </c>
      <c r="V420" s="20">
        <f t="shared" ref="V420:V426" si="147">U420/$P420</f>
        <v>0.37993846153846156</v>
      </c>
      <c r="W420" s="19">
        <v>540.96</v>
      </c>
      <c r="X420" s="20">
        <f t="shared" ref="X420:X426" si="148">W420/$P420</f>
        <v>0.41612307692307693</v>
      </c>
      <c r="Y420" s="19">
        <f>K420</f>
        <v>1300</v>
      </c>
      <c r="Z420" s="19">
        <f>Y420</f>
        <v>1300</v>
      </c>
    </row>
    <row r="421" spans="1:26" x14ac:dyDescent="0.25">
      <c r="A421" s="10">
        <v>7</v>
      </c>
      <c r="B421" s="10">
        <v>2</v>
      </c>
      <c r="D421" s="102" t="s">
        <v>235</v>
      </c>
      <c r="E421" s="18">
        <v>630</v>
      </c>
      <c r="F421" s="18" t="s">
        <v>118</v>
      </c>
      <c r="G421" s="19">
        <v>0</v>
      </c>
      <c r="H421" s="19">
        <v>0</v>
      </c>
      <c r="I421" s="19">
        <v>0</v>
      </c>
      <c r="J421" s="19">
        <v>742</v>
      </c>
      <c r="K421" s="19">
        <v>700</v>
      </c>
      <c r="L421" s="19"/>
      <c r="M421" s="19"/>
      <c r="N421" s="19"/>
      <c r="O421" s="19">
        <v>-35</v>
      </c>
      <c r="P421" s="19">
        <f>K421+SUM(L421:O421)</f>
        <v>665</v>
      </c>
      <c r="Q421" s="19">
        <v>42</v>
      </c>
      <c r="R421" s="20">
        <f t="shared" si="145"/>
        <v>6.3157894736842107E-2</v>
      </c>
      <c r="S421" s="19">
        <v>63</v>
      </c>
      <c r="T421" s="20">
        <f t="shared" si="146"/>
        <v>9.4736842105263161E-2</v>
      </c>
      <c r="U421" s="19">
        <v>136</v>
      </c>
      <c r="V421" s="20">
        <f t="shared" si="147"/>
        <v>0.20451127819548873</v>
      </c>
      <c r="W421" s="19">
        <v>493</v>
      </c>
      <c r="X421" s="20">
        <f t="shared" si="148"/>
        <v>0.74135338345864665</v>
      </c>
      <c r="Y421" s="19">
        <f>K421</f>
        <v>700</v>
      </c>
      <c r="Z421" s="19">
        <f>Y421</f>
        <v>700</v>
      </c>
    </row>
    <row r="422" spans="1:26" x14ac:dyDescent="0.25">
      <c r="A422" s="10">
        <v>7</v>
      </c>
      <c r="B422" s="10">
        <v>2</v>
      </c>
      <c r="D422" s="80" t="s">
        <v>97</v>
      </c>
      <c r="E422" s="81">
        <v>111</v>
      </c>
      <c r="F422" s="81" t="s">
        <v>139</v>
      </c>
      <c r="G422" s="82">
        <f t="shared" ref="G422:Q422" si="149">SUM(G420:G421)</f>
        <v>1982.12</v>
      </c>
      <c r="H422" s="82">
        <f t="shared" si="149"/>
        <v>1620.36</v>
      </c>
      <c r="I422" s="82">
        <f t="shared" si="149"/>
        <v>1600</v>
      </c>
      <c r="J422" s="82">
        <f t="shared" si="149"/>
        <v>2059.12</v>
      </c>
      <c r="K422" s="82">
        <f t="shared" si="149"/>
        <v>2000</v>
      </c>
      <c r="L422" s="82">
        <f t="shared" si="149"/>
        <v>0</v>
      </c>
      <c r="M422" s="82">
        <f t="shared" si="149"/>
        <v>0</v>
      </c>
      <c r="N422" s="82">
        <f t="shared" si="149"/>
        <v>0</v>
      </c>
      <c r="O422" s="82">
        <f t="shared" si="149"/>
        <v>-35</v>
      </c>
      <c r="P422" s="82">
        <f t="shared" si="149"/>
        <v>1965</v>
      </c>
      <c r="Q422" s="82">
        <f t="shared" si="149"/>
        <v>230.16</v>
      </c>
      <c r="R422" s="83">
        <f t="shared" si="145"/>
        <v>0.11712977099236641</v>
      </c>
      <c r="S422" s="82">
        <f>SUM(S420:S421)</f>
        <v>462.84</v>
      </c>
      <c r="T422" s="83">
        <f t="shared" si="146"/>
        <v>0.23554198473282442</v>
      </c>
      <c r="U422" s="82">
        <f>SUM(U420:U421)</f>
        <v>629.92000000000007</v>
      </c>
      <c r="V422" s="83">
        <f t="shared" si="147"/>
        <v>0.32056997455470743</v>
      </c>
      <c r="W422" s="82">
        <f>SUM(W420:W421)</f>
        <v>1033.96</v>
      </c>
      <c r="X422" s="83">
        <f t="shared" si="148"/>
        <v>0.52618829516539445</v>
      </c>
      <c r="Y422" s="82">
        <f>SUM(Y420:Y421)</f>
        <v>2000</v>
      </c>
      <c r="Z422" s="82">
        <f>SUM(Z420:Z421)</f>
        <v>2000</v>
      </c>
    </row>
    <row r="423" spans="1:26" x14ac:dyDescent="0.25">
      <c r="A423" s="10">
        <v>7</v>
      </c>
      <c r="B423" s="10">
        <v>2</v>
      </c>
      <c r="D423" s="103" t="s">
        <v>234</v>
      </c>
      <c r="E423" s="18">
        <v>640</v>
      </c>
      <c r="F423" s="18" t="s">
        <v>119</v>
      </c>
      <c r="G423" s="19">
        <v>3000</v>
      </c>
      <c r="H423" s="19">
        <v>2916.74</v>
      </c>
      <c r="I423" s="19">
        <v>3000</v>
      </c>
      <c r="J423" s="19">
        <v>3400</v>
      </c>
      <c r="K423" s="19">
        <v>3000</v>
      </c>
      <c r="L423" s="19"/>
      <c r="M423" s="19"/>
      <c r="N423" s="19">
        <v>1850</v>
      </c>
      <c r="O423" s="19"/>
      <c r="P423" s="19">
        <f>K423+SUM(L423:O423)</f>
        <v>4850</v>
      </c>
      <c r="Q423" s="19">
        <v>200</v>
      </c>
      <c r="R423" s="20">
        <f t="shared" si="145"/>
        <v>4.1237113402061855E-2</v>
      </c>
      <c r="S423" s="19">
        <v>1400</v>
      </c>
      <c r="T423" s="20">
        <f t="shared" si="146"/>
        <v>0.28865979381443296</v>
      </c>
      <c r="U423" s="19">
        <v>1400</v>
      </c>
      <c r="V423" s="20">
        <f t="shared" si="147"/>
        <v>0.28865979381443296</v>
      </c>
      <c r="W423" s="19">
        <v>4850</v>
      </c>
      <c r="X423" s="20">
        <f t="shared" si="148"/>
        <v>1</v>
      </c>
      <c r="Y423" s="19">
        <f>K423</f>
        <v>3000</v>
      </c>
      <c r="Z423" s="19">
        <f>Y423</f>
        <v>3000</v>
      </c>
    </row>
    <row r="424" spans="1:26" x14ac:dyDescent="0.25">
      <c r="A424" s="10">
        <v>7</v>
      </c>
      <c r="B424" s="10">
        <v>2</v>
      </c>
      <c r="D424" s="102" t="s">
        <v>235</v>
      </c>
      <c r="E424" s="18">
        <v>640</v>
      </c>
      <c r="F424" s="18" t="s">
        <v>119</v>
      </c>
      <c r="G424" s="19">
        <v>4080.22</v>
      </c>
      <c r="H424" s="19">
        <v>2915.87</v>
      </c>
      <c r="I424" s="19">
        <v>2000</v>
      </c>
      <c r="J424" s="19">
        <v>150</v>
      </c>
      <c r="K424" s="19">
        <v>500</v>
      </c>
      <c r="L424" s="19"/>
      <c r="M424" s="19"/>
      <c r="N424" s="19"/>
      <c r="O424" s="19"/>
      <c r="P424" s="19">
        <f>K424+SUM(L424:O424)</f>
        <v>500</v>
      </c>
      <c r="Q424" s="19">
        <v>0</v>
      </c>
      <c r="R424" s="20">
        <f t="shared" si="145"/>
        <v>0</v>
      </c>
      <c r="S424" s="19">
        <v>0</v>
      </c>
      <c r="T424" s="20">
        <f t="shared" si="146"/>
        <v>0</v>
      </c>
      <c r="U424" s="19">
        <v>0</v>
      </c>
      <c r="V424" s="20">
        <f t="shared" si="147"/>
        <v>0</v>
      </c>
      <c r="W424" s="19">
        <v>0</v>
      </c>
      <c r="X424" s="20">
        <f t="shared" si="148"/>
        <v>0</v>
      </c>
      <c r="Y424" s="19">
        <f>K424</f>
        <v>500</v>
      </c>
      <c r="Z424" s="19">
        <f>Y424</f>
        <v>500</v>
      </c>
    </row>
    <row r="425" spans="1:26" x14ac:dyDescent="0.25">
      <c r="A425" s="10">
        <v>7</v>
      </c>
      <c r="B425" s="10">
        <v>2</v>
      </c>
      <c r="D425" s="80" t="s">
        <v>97</v>
      </c>
      <c r="E425" s="81">
        <v>41</v>
      </c>
      <c r="F425" s="81" t="s">
        <v>56</v>
      </c>
      <c r="G425" s="82">
        <f t="shared" ref="G425:Q425" si="150">SUM(G423:G424)</f>
        <v>7080.2199999999993</v>
      </c>
      <c r="H425" s="82">
        <f t="shared" si="150"/>
        <v>5832.61</v>
      </c>
      <c r="I425" s="82">
        <f t="shared" si="150"/>
        <v>5000</v>
      </c>
      <c r="J425" s="82">
        <f t="shared" si="150"/>
        <v>3550</v>
      </c>
      <c r="K425" s="82">
        <f t="shared" si="150"/>
        <v>3500</v>
      </c>
      <c r="L425" s="82">
        <f t="shared" si="150"/>
        <v>0</v>
      </c>
      <c r="M425" s="82">
        <f t="shared" si="150"/>
        <v>0</v>
      </c>
      <c r="N425" s="82">
        <f t="shared" si="150"/>
        <v>1850</v>
      </c>
      <c r="O425" s="82">
        <f t="shared" si="150"/>
        <v>0</v>
      </c>
      <c r="P425" s="82">
        <f t="shared" si="150"/>
        <v>5350</v>
      </c>
      <c r="Q425" s="82">
        <f t="shared" si="150"/>
        <v>200</v>
      </c>
      <c r="R425" s="83">
        <f t="shared" si="145"/>
        <v>3.7383177570093455E-2</v>
      </c>
      <c r="S425" s="82">
        <f>SUM(S423:S424)</f>
        <v>1400</v>
      </c>
      <c r="T425" s="83">
        <f t="shared" si="146"/>
        <v>0.26168224299065418</v>
      </c>
      <c r="U425" s="82">
        <f>SUM(U423:U424)</f>
        <v>1400</v>
      </c>
      <c r="V425" s="83">
        <f t="shared" si="147"/>
        <v>0.26168224299065418</v>
      </c>
      <c r="W425" s="82">
        <f>SUM(W423:W424)</f>
        <v>4850</v>
      </c>
      <c r="X425" s="83">
        <f t="shared" si="148"/>
        <v>0.90654205607476634</v>
      </c>
      <c r="Y425" s="82">
        <f>SUM(Y423:Y424)</f>
        <v>3500</v>
      </c>
      <c r="Z425" s="82">
        <f>SUM(Z423:Z424)</f>
        <v>3500</v>
      </c>
    </row>
    <row r="426" spans="1:26" x14ac:dyDescent="0.25">
      <c r="A426" s="10">
        <v>7</v>
      </c>
      <c r="B426" s="10">
        <v>2</v>
      </c>
      <c r="D426" s="24"/>
      <c r="E426" s="25"/>
      <c r="F426" s="21" t="s">
        <v>31</v>
      </c>
      <c r="G426" s="22">
        <f t="shared" ref="G426:Q426" si="151">G422+G425</f>
        <v>9062.34</v>
      </c>
      <c r="H426" s="22">
        <f t="shared" si="151"/>
        <v>7452.9699999999993</v>
      </c>
      <c r="I426" s="22">
        <f t="shared" si="151"/>
        <v>6600</v>
      </c>
      <c r="J426" s="22">
        <f t="shared" si="151"/>
        <v>5609.12</v>
      </c>
      <c r="K426" s="22">
        <f t="shared" si="151"/>
        <v>5500</v>
      </c>
      <c r="L426" s="22">
        <f t="shared" si="151"/>
        <v>0</v>
      </c>
      <c r="M426" s="22">
        <f t="shared" si="151"/>
        <v>0</v>
      </c>
      <c r="N426" s="22">
        <f t="shared" si="151"/>
        <v>1850</v>
      </c>
      <c r="O426" s="22">
        <f t="shared" si="151"/>
        <v>-35</v>
      </c>
      <c r="P426" s="22">
        <f t="shared" si="151"/>
        <v>7315</v>
      </c>
      <c r="Q426" s="22">
        <f t="shared" si="151"/>
        <v>430.15999999999997</v>
      </c>
      <c r="R426" s="23">
        <f t="shared" si="145"/>
        <v>5.8805194805194798E-2</v>
      </c>
      <c r="S426" s="22">
        <f>S422+S425</f>
        <v>1862.84</v>
      </c>
      <c r="T426" s="23">
        <f t="shared" si="146"/>
        <v>0.2546602870813397</v>
      </c>
      <c r="U426" s="22">
        <f>U422+U425</f>
        <v>2029.92</v>
      </c>
      <c r="V426" s="23">
        <f t="shared" si="147"/>
        <v>0.27750102529049897</v>
      </c>
      <c r="W426" s="22">
        <f>W422+W425</f>
        <v>5883.96</v>
      </c>
      <c r="X426" s="23">
        <f t="shared" si="148"/>
        <v>0.80436910457963096</v>
      </c>
      <c r="Y426" s="22">
        <f>Y422+Y425</f>
        <v>5500</v>
      </c>
      <c r="Z426" s="22">
        <f>Z422+Z425</f>
        <v>5500</v>
      </c>
    </row>
    <row r="428" spans="1:26" x14ac:dyDescent="0.25">
      <c r="D428" s="35" t="s">
        <v>236</v>
      </c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6"/>
      <c r="S428" s="35"/>
      <c r="T428" s="36"/>
      <c r="U428" s="35"/>
      <c r="V428" s="36"/>
      <c r="W428" s="35"/>
      <c r="X428" s="36"/>
      <c r="Y428" s="35"/>
      <c r="Z428" s="35"/>
    </row>
    <row r="429" spans="1:26" x14ac:dyDescent="0.25">
      <c r="D429" s="16" t="s">
        <v>33</v>
      </c>
      <c r="E429" s="16" t="s">
        <v>34</v>
      </c>
      <c r="F429" s="16" t="s">
        <v>35</v>
      </c>
      <c r="G429" s="16" t="s">
        <v>1</v>
      </c>
      <c r="H429" s="16" t="s">
        <v>2</v>
      </c>
      <c r="I429" s="16" t="s">
        <v>3</v>
      </c>
      <c r="J429" s="16" t="s">
        <v>4</v>
      </c>
      <c r="K429" s="16" t="s">
        <v>5</v>
      </c>
      <c r="L429" s="16" t="s">
        <v>6</v>
      </c>
      <c r="M429" s="16" t="s">
        <v>7</v>
      </c>
      <c r="N429" s="16" t="s">
        <v>8</v>
      </c>
      <c r="O429" s="16" t="s">
        <v>9</v>
      </c>
      <c r="P429" s="16" t="s">
        <v>10</v>
      </c>
      <c r="Q429" s="16" t="s">
        <v>11</v>
      </c>
      <c r="R429" s="17" t="s">
        <v>12</v>
      </c>
      <c r="S429" s="16" t="s">
        <v>13</v>
      </c>
      <c r="T429" s="17" t="s">
        <v>14</v>
      </c>
      <c r="U429" s="16" t="s">
        <v>15</v>
      </c>
      <c r="V429" s="17" t="s">
        <v>16</v>
      </c>
      <c r="W429" s="16" t="s">
        <v>17</v>
      </c>
      <c r="X429" s="17" t="s">
        <v>18</v>
      </c>
      <c r="Y429" s="16" t="s">
        <v>19</v>
      </c>
      <c r="Z429" s="16" t="s">
        <v>20</v>
      </c>
    </row>
    <row r="430" spans="1:26" x14ac:dyDescent="0.25">
      <c r="A430" s="10">
        <v>7</v>
      </c>
      <c r="B430" s="10">
        <v>3</v>
      </c>
      <c r="D430" s="7" t="s">
        <v>194</v>
      </c>
      <c r="E430" s="18">
        <v>610</v>
      </c>
      <c r="F430" s="18" t="s">
        <v>116</v>
      </c>
      <c r="G430" s="19">
        <v>0</v>
      </c>
      <c r="H430" s="19">
        <v>0</v>
      </c>
      <c r="I430" s="19">
        <v>0</v>
      </c>
      <c r="J430" s="19">
        <v>0</v>
      </c>
      <c r="K430" s="19">
        <v>5830</v>
      </c>
      <c r="L430" s="19"/>
      <c r="M430" s="19"/>
      <c r="N430" s="19">
        <v>-2000</v>
      </c>
      <c r="O430" s="19">
        <v>-3830</v>
      </c>
      <c r="P430" s="19">
        <f>K430+SUM(L430:O430)</f>
        <v>0</v>
      </c>
      <c r="Q430" s="19">
        <v>0</v>
      </c>
      <c r="R430" s="20" t="e">
        <f t="shared" ref="R430:R438" si="152">Q430/$P430</f>
        <v>#DIV/0!</v>
      </c>
      <c r="S430" s="19">
        <v>0</v>
      </c>
      <c r="T430" s="20" t="e">
        <f t="shared" ref="T430:T438" si="153">S430/$P430</f>
        <v>#DIV/0!</v>
      </c>
      <c r="U430" s="19">
        <v>0</v>
      </c>
      <c r="V430" s="20" t="e">
        <f t="shared" ref="V430:V438" si="154">U430/$P430</f>
        <v>#DIV/0!</v>
      </c>
      <c r="W430" s="19">
        <v>0</v>
      </c>
      <c r="X430" s="20" t="e">
        <f t="shared" ref="X430:X438" si="155">W430/$P430</f>
        <v>#DIV/0!</v>
      </c>
      <c r="Y430" s="19">
        <f>K430</f>
        <v>5830</v>
      </c>
      <c r="Z430" s="19">
        <f>Y430</f>
        <v>5830</v>
      </c>
    </row>
    <row r="431" spans="1:26" x14ac:dyDescent="0.25">
      <c r="A431" s="10">
        <v>7</v>
      </c>
      <c r="B431" s="10">
        <v>3</v>
      </c>
      <c r="D431" s="7"/>
      <c r="E431" s="18">
        <v>620</v>
      </c>
      <c r="F431" s="18" t="s">
        <v>117</v>
      </c>
      <c r="G431" s="19">
        <v>0</v>
      </c>
      <c r="H431" s="19">
        <v>0</v>
      </c>
      <c r="I431" s="19">
        <v>0</v>
      </c>
      <c r="J431" s="19">
        <v>0</v>
      </c>
      <c r="K431" s="19">
        <v>2038</v>
      </c>
      <c r="L431" s="19"/>
      <c r="M431" s="19"/>
      <c r="N431" s="19">
        <v>-2038</v>
      </c>
      <c r="O431" s="19"/>
      <c r="P431" s="19">
        <f>K431+SUM(L431:O431)</f>
        <v>0</v>
      </c>
      <c r="Q431" s="19">
        <v>0</v>
      </c>
      <c r="R431" s="20" t="e">
        <f t="shared" si="152"/>
        <v>#DIV/0!</v>
      </c>
      <c r="S431" s="19">
        <v>0</v>
      </c>
      <c r="T431" s="20" t="e">
        <f t="shared" si="153"/>
        <v>#DIV/0!</v>
      </c>
      <c r="U431" s="19">
        <v>0</v>
      </c>
      <c r="V431" s="20" t="e">
        <f t="shared" si="154"/>
        <v>#DIV/0!</v>
      </c>
      <c r="W431" s="19">
        <v>0</v>
      </c>
      <c r="X431" s="20" t="e">
        <f t="shared" si="155"/>
        <v>#DIV/0!</v>
      </c>
      <c r="Y431" s="19">
        <f>K431</f>
        <v>2038</v>
      </c>
      <c r="Z431" s="19">
        <f>Y431</f>
        <v>2038</v>
      </c>
    </row>
    <row r="432" spans="1:26" x14ac:dyDescent="0.25">
      <c r="A432" s="10">
        <v>7</v>
      </c>
      <c r="B432" s="10">
        <v>3</v>
      </c>
      <c r="D432" s="7"/>
      <c r="E432" s="18">
        <v>630</v>
      </c>
      <c r="F432" s="18" t="s">
        <v>118</v>
      </c>
      <c r="G432" s="19">
        <v>0</v>
      </c>
      <c r="H432" s="19">
        <v>0</v>
      </c>
      <c r="I432" s="19">
        <v>0</v>
      </c>
      <c r="J432" s="19">
        <v>0</v>
      </c>
      <c r="K432" s="19">
        <v>700</v>
      </c>
      <c r="L432" s="19"/>
      <c r="M432" s="19"/>
      <c r="N432" s="19">
        <v>-700</v>
      </c>
      <c r="O432" s="19"/>
      <c r="P432" s="19">
        <f>K432+SUM(L432:O432)</f>
        <v>0</v>
      </c>
      <c r="Q432" s="19">
        <v>0</v>
      </c>
      <c r="R432" s="20" t="e">
        <f t="shared" si="152"/>
        <v>#DIV/0!</v>
      </c>
      <c r="S432" s="19">
        <v>0</v>
      </c>
      <c r="T432" s="20" t="e">
        <f t="shared" si="153"/>
        <v>#DIV/0!</v>
      </c>
      <c r="U432" s="19">
        <v>0</v>
      </c>
      <c r="V432" s="20" t="e">
        <f t="shared" si="154"/>
        <v>#DIV/0!</v>
      </c>
      <c r="W432" s="19">
        <v>0</v>
      </c>
      <c r="X432" s="20" t="e">
        <f t="shared" si="155"/>
        <v>#DIV/0!</v>
      </c>
      <c r="Y432" s="19">
        <f>K432</f>
        <v>700</v>
      </c>
      <c r="Z432" s="19">
        <f>Y432</f>
        <v>700</v>
      </c>
    </row>
    <row r="433" spans="1:26" x14ac:dyDescent="0.25">
      <c r="A433" s="10">
        <v>7</v>
      </c>
      <c r="B433" s="10">
        <v>3</v>
      </c>
      <c r="D433" s="80" t="s">
        <v>97</v>
      </c>
      <c r="E433" s="81">
        <v>111</v>
      </c>
      <c r="F433" s="81" t="s">
        <v>139</v>
      </c>
      <c r="G433" s="82">
        <f t="shared" ref="G433:Q433" si="156">SUM(G430:G432)</f>
        <v>0</v>
      </c>
      <c r="H433" s="82">
        <f t="shared" si="156"/>
        <v>0</v>
      </c>
      <c r="I433" s="82">
        <f t="shared" si="156"/>
        <v>0</v>
      </c>
      <c r="J433" s="82">
        <f t="shared" si="156"/>
        <v>0</v>
      </c>
      <c r="K433" s="82">
        <f t="shared" si="156"/>
        <v>8568</v>
      </c>
      <c r="L433" s="82">
        <f t="shared" si="156"/>
        <v>0</v>
      </c>
      <c r="M433" s="82">
        <f t="shared" si="156"/>
        <v>0</v>
      </c>
      <c r="N433" s="82">
        <f t="shared" si="156"/>
        <v>-4738</v>
      </c>
      <c r="O433" s="82">
        <f t="shared" si="156"/>
        <v>-3830</v>
      </c>
      <c r="P433" s="82">
        <f t="shared" si="156"/>
        <v>0</v>
      </c>
      <c r="Q433" s="82">
        <f t="shared" si="156"/>
        <v>0</v>
      </c>
      <c r="R433" s="83" t="e">
        <f t="shared" si="152"/>
        <v>#DIV/0!</v>
      </c>
      <c r="S433" s="82">
        <f>SUM(S430:S432)</f>
        <v>0</v>
      </c>
      <c r="T433" s="83" t="e">
        <f t="shared" si="153"/>
        <v>#DIV/0!</v>
      </c>
      <c r="U433" s="82">
        <f>SUM(U430:U432)</f>
        <v>0</v>
      </c>
      <c r="V433" s="83" t="e">
        <f t="shared" si="154"/>
        <v>#DIV/0!</v>
      </c>
      <c r="W433" s="82">
        <f>SUM(W430:W432)</f>
        <v>0</v>
      </c>
      <c r="X433" s="83" t="e">
        <f t="shared" si="155"/>
        <v>#DIV/0!</v>
      </c>
      <c r="Y433" s="82">
        <f>SUM(Y430:Y432)</f>
        <v>8568</v>
      </c>
      <c r="Z433" s="82">
        <f>SUM(Z430:Z432)</f>
        <v>8568</v>
      </c>
    </row>
    <row r="434" spans="1:26" x14ac:dyDescent="0.25">
      <c r="A434" s="10">
        <v>7</v>
      </c>
      <c r="B434" s="10">
        <v>3</v>
      </c>
      <c r="D434" s="7" t="s">
        <v>194</v>
      </c>
      <c r="E434" s="18">
        <v>610</v>
      </c>
      <c r="F434" s="18" t="s">
        <v>116</v>
      </c>
      <c r="G434" s="19">
        <v>6101.81</v>
      </c>
      <c r="H434" s="19">
        <v>7217.85</v>
      </c>
      <c r="I434" s="19">
        <v>6850</v>
      </c>
      <c r="J434" s="19">
        <v>6323.5</v>
      </c>
      <c r="K434" s="19">
        <v>0</v>
      </c>
      <c r="L434" s="19"/>
      <c r="M434" s="19"/>
      <c r="N434" s="19"/>
      <c r="O434" s="19"/>
      <c r="P434" s="19">
        <f>K434+SUM(L434:O434)</f>
        <v>0</v>
      </c>
      <c r="Q434" s="19">
        <v>0</v>
      </c>
      <c r="R434" s="20" t="e">
        <f t="shared" si="152"/>
        <v>#DIV/0!</v>
      </c>
      <c r="S434" s="19">
        <v>0</v>
      </c>
      <c r="T434" s="20" t="e">
        <f t="shared" si="153"/>
        <v>#DIV/0!</v>
      </c>
      <c r="U434" s="19">
        <v>0</v>
      </c>
      <c r="V434" s="20" t="e">
        <f t="shared" si="154"/>
        <v>#DIV/0!</v>
      </c>
      <c r="W434" s="19">
        <v>0</v>
      </c>
      <c r="X434" s="20" t="e">
        <f t="shared" si="155"/>
        <v>#DIV/0!</v>
      </c>
      <c r="Y434" s="19">
        <v>0</v>
      </c>
      <c r="Z434" s="19">
        <v>0</v>
      </c>
    </row>
    <row r="435" spans="1:26" x14ac:dyDescent="0.25">
      <c r="A435" s="10">
        <v>7</v>
      </c>
      <c r="B435" s="10">
        <v>3</v>
      </c>
      <c r="D435" s="7"/>
      <c r="E435" s="18">
        <v>620</v>
      </c>
      <c r="F435" s="18" t="s">
        <v>117</v>
      </c>
      <c r="G435" s="19">
        <v>2198.2399999999998</v>
      </c>
      <c r="H435" s="19">
        <v>2593.4699999999998</v>
      </c>
      <c r="I435" s="19">
        <v>2396</v>
      </c>
      <c r="J435" s="19">
        <v>2122.5</v>
      </c>
      <c r="K435" s="19">
        <v>0</v>
      </c>
      <c r="L435" s="19"/>
      <c r="M435" s="19"/>
      <c r="N435" s="19"/>
      <c r="O435" s="19"/>
      <c r="P435" s="19">
        <f>K435+SUM(L435:O435)</f>
        <v>0</v>
      </c>
      <c r="Q435" s="19">
        <v>0</v>
      </c>
      <c r="R435" s="20" t="e">
        <f t="shared" si="152"/>
        <v>#DIV/0!</v>
      </c>
      <c r="S435" s="19">
        <v>0</v>
      </c>
      <c r="T435" s="20" t="e">
        <f t="shared" si="153"/>
        <v>#DIV/0!</v>
      </c>
      <c r="U435" s="19">
        <v>0</v>
      </c>
      <c r="V435" s="20" t="e">
        <f t="shared" si="154"/>
        <v>#DIV/0!</v>
      </c>
      <c r="W435" s="19">
        <v>0</v>
      </c>
      <c r="X435" s="20" t="e">
        <f t="shared" si="155"/>
        <v>#DIV/0!</v>
      </c>
      <c r="Y435" s="19">
        <v>0</v>
      </c>
      <c r="Z435" s="19">
        <v>0</v>
      </c>
    </row>
    <row r="436" spans="1:26" x14ac:dyDescent="0.25">
      <c r="A436" s="10">
        <v>7</v>
      </c>
      <c r="B436" s="10">
        <v>3</v>
      </c>
      <c r="D436" s="7"/>
      <c r="E436" s="18">
        <v>630</v>
      </c>
      <c r="F436" s="18" t="s">
        <v>118</v>
      </c>
      <c r="G436" s="19">
        <v>1486.56</v>
      </c>
      <c r="H436" s="19">
        <v>740.58</v>
      </c>
      <c r="I436" s="19">
        <v>1879</v>
      </c>
      <c r="J436" s="19">
        <v>1339.34</v>
      </c>
      <c r="K436" s="19">
        <v>768</v>
      </c>
      <c r="L436" s="19"/>
      <c r="M436" s="19"/>
      <c r="N436" s="19">
        <v>1802</v>
      </c>
      <c r="O436" s="19">
        <f>35-2500</f>
        <v>-2465</v>
      </c>
      <c r="P436" s="19">
        <f>K436+SUM(L436:O436)</f>
        <v>105</v>
      </c>
      <c r="Q436" s="19">
        <v>37.46</v>
      </c>
      <c r="R436" s="20">
        <f t="shared" si="152"/>
        <v>0.35676190476190478</v>
      </c>
      <c r="S436" s="19">
        <v>67.540000000000006</v>
      </c>
      <c r="T436" s="20">
        <f t="shared" si="153"/>
        <v>0.64323809523809528</v>
      </c>
      <c r="U436" s="19">
        <v>67.540000000000006</v>
      </c>
      <c r="V436" s="20">
        <f t="shared" si="154"/>
        <v>0.64323809523809528</v>
      </c>
      <c r="W436" s="19">
        <v>105.54</v>
      </c>
      <c r="X436" s="20">
        <f t="shared" si="155"/>
        <v>1.0051428571428571</v>
      </c>
      <c r="Y436" s="19">
        <v>758</v>
      </c>
      <c r="Z436" s="19">
        <v>768</v>
      </c>
    </row>
    <row r="437" spans="1:26" x14ac:dyDescent="0.25">
      <c r="A437" s="10">
        <v>7</v>
      </c>
      <c r="B437" s="10">
        <v>3</v>
      </c>
      <c r="D437" s="80" t="s">
        <v>97</v>
      </c>
      <c r="E437" s="81">
        <v>41</v>
      </c>
      <c r="F437" s="81" t="s">
        <v>56</v>
      </c>
      <c r="G437" s="82">
        <f t="shared" ref="G437:Q437" si="157">SUM(G434:G436)</f>
        <v>9786.6099999999988</v>
      </c>
      <c r="H437" s="82">
        <f t="shared" si="157"/>
        <v>10551.9</v>
      </c>
      <c r="I437" s="82">
        <f t="shared" si="157"/>
        <v>11125</v>
      </c>
      <c r="J437" s="82">
        <f t="shared" si="157"/>
        <v>9785.34</v>
      </c>
      <c r="K437" s="82">
        <f t="shared" si="157"/>
        <v>768</v>
      </c>
      <c r="L437" s="82">
        <f t="shared" si="157"/>
        <v>0</v>
      </c>
      <c r="M437" s="82">
        <f t="shared" si="157"/>
        <v>0</v>
      </c>
      <c r="N437" s="82">
        <f t="shared" si="157"/>
        <v>1802</v>
      </c>
      <c r="O437" s="82">
        <f t="shared" si="157"/>
        <v>-2465</v>
      </c>
      <c r="P437" s="82">
        <f t="shared" si="157"/>
        <v>105</v>
      </c>
      <c r="Q437" s="82">
        <f t="shared" si="157"/>
        <v>37.46</v>
      </c>
      <c r="R437" s="83">
        <f t="shared" si="152"/>
        <v>0.35676190476190478</v>
      </c>
      <c r="S437" s="82">
        <f>SUM(S434:S436)</f>
        <v>67.540000000000006</v>
      </c>
      <c r="T437" s="83">
        <f t="shared" si="153"/>
        <v>0.64323809523809528</v>
      </c>
      <c r="U437" s="82">
        <f>SUM(U434:U436)</f>
        <v>67.540000000000006</v>
      </c>
      <c r="V437" s="83">
        <f t="shared" si="154"/>
        <v>0.64323809523809528</v>
      </c>
      <c r="W437" s="82">
        <f>SUM(W434:W436)</f>
        <v>105.54</v>
      </c>
      <c r="X437" s="83">
        <f t="shared" si="155"/>
        <v>1.0051428571428571</v>
      </c>
      <c r="Y437" s="82">
        <f>SUM(Y434:Y436)</f>
        <v>758</v>
      </c>
      <c r="Z437" s="82">
        <f>SUM(Z434:Z436)</f>
        <v>768</v>
      </c>
    </row>
    <row r="438" spans="1:26" x14ac:dyDescent="0.25">
      <c r="A438" s="10">
        <v>7</v>
      </c>
      <c r="B438" s="10">
        <v>3</v>
      </c>
      <c r="D438" s="24"/>
      <c r="E438" s="25"/>
      <c r="F438" s="21" t="s">
        <v>31</v>
      </c>
      <c r="G438" s="22">
        <f t="shared" ref="G438:Q438" si="158">G433+G437</f>
        <v>9786.6099999999988</v>
      </c>
      <c r="H438" s="22">
        <f t="shared" si="158"/>
        <v>10551.9</v>
      </c>
      <c r="I438" s="22">
        <f t="shared" si="158"/>
        <v>11125</v>
      </c>
      <c r="J438" s="22">
        <f t="shared" si="158"/>
        <v>9785.34</v>
      </c>
      <c r="K438" s="22">
        <f t="shared" si="158"/>
        <v>9336</v>
      </c>
      <c r="L438" s="22">
        <f t="shared" si="158"/>
        <v>0</v>
      </c>
      <c r="M438" s="22">
        <f t="shared" si="158"/>
        <v>0</v>
      </c>
      <c r="N438" s="22">
        <f t="shared" si="158"/>
        <v>-2936</v>
      </c>
      <c r="O438" s="22">
        <f t="shared" si="158"/>
        <v>-6295</v>
      </c>
      <c r="P438" s="22">
        <f t="shared" si="158"/>
        <v>105</v>
      </c>
      <c r="Q438" s="22">
        <f t="shared" si="158"/>
        <v>37.46</v>
      </c>
      <c r="R438" s="23">
        <f t="shared" si="152"/>
        <v>0.35676190476190478</v>
      </c>
      <c r="S438" s="22">
        <f>S433+S437</f>
        <v>67.540000000000006</v>
      </c>
      <c r="T438" s="23">
        <f t="shared" si="153"/>
        <v>0.64323809523809528</v>
      </c>
      <c r="U438" s="22">
        <f>U433+U437</f>
        <v>67.540000000000006</v>
      </c>
      <c r="V438" s="23">
        <f t="shared" si="154"/>
        <v>0.64323809523809528</v>
      </c>
      <c r="W438" s="22">
        <f>W433+W437</f>
        <v>105.54</v>
      </c>
      <c r="X438" s="23">
        <f t="shared" si="155"/>
        <v>1.0051428571428571</v>
      </c>
      <c r="Y438" s="22">
        <f>Y433+Y437</f>
        <v>9326</v>
      </c>
      <c r="Z438" s="22">
        <f>Z433+Z437</f>
        <v>9336</v>
      </c>
    </row>
    <row r="440" spans="1:26" x14ac:dyDescent="0.25">
      <c r="D440" s="26" t="s">
        <v>237</v>
      </c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7"/>
      <c r="S440" s="26"/>
      <c r="T440" s="27"/>
      <c r="U440" s="26"/>
      <c r="V440" s="27"/>
      <c r="W440" s="26"/>
      <c r="X440" s="27"/>
      <c r="Y440" s="26"/>
      <c r="Z440" s="26"/>
    </row>
    <row r="441" spans="1:26" x14ac:dyDescent="0.25">
      <c r="D441" s="15"/>
      <c r="E441" s="15"/>
      <c r="F441" s="15"/>
      <c r="G441" s="16" t="s">
        <v>1</v>
      </c>
      <c r="H441" s="16" t="s">
        <v>2</v>
      </c>
      <c r="I441" s="16" t="s">
        <v>3</v>
      </c>
      <c r="J441" s="16" t="s">
        <v>4</v>
      </c>
      <c r="K441" s="16" t="s">
        <v>5</v>
      </c>
      <c r="L441" s="16" t="s">
        <v>6</v>
      </c>
      <c r="M441" s="16" t="s">
        <v>7</v>
      </c>
      <c r="N441" s="16" t="s">
        <v>8</v>
      </c>
      <c r="O441" s="16" t="s">
        <v>9</v>
      </c>
      <c r="P441" s="16" t="s">
        <v>10</v>
      </c>
      <c r="Q441" s="16" t="s">
        <v>11</v>
      </c>
      <c r="R441" s="17" t="s">
        <v>12</v>
      </c>
      <c r="S441" s="16" t="s">
        <v>13</v>
      </c>
      <c r="T441" s="17" t="s">
        <v>14</v>
      </c>
      <c r="U441" s="16" t="s">
        <v>15</v>
      </c>
      <c r="V441" s="17" t="s">
        <v>16</v>
      </c>
      <c r="W441" s="16" t="s">
        <v>17</v>
      </c>
      <c r="X441" s="17" t="s">
        <v>18</v>
      </c>
      <c r="Y441" s="16" t="s">
        <v>19</v>
      </c>
      <c r="Z441" s="16" t="s">
        <v>20</v>
      </c>
    </row>
    <row r="442" spans="1:26" x14ac:dyDescent="0.25">
      <c r="A442" s="10">
        <v>8</v>
      </c>
      <c r="D442" s="5" t="s">
        <v>21</v>
      </c>
      <c r="E442" s="29">
        <v>111</v>
      </c>
      <c r="F442" s="29" t="s">
        <v>99</v>
      </c>
      <c r="G442" s="30">
        <f t="shared" ref="G442:Q442" si="159">G463+G502+G531</f>
        <v>3000</v>
      </c>
      <c r="H442" s="30">
        <f t="shared" si="159"/>
        <v>0</v>
      </c>
      <c r="I442" s="30">
        <f t="shared" si="159"/>
        <v>12426</v>
      </c>
      <c r="J442" s="30">
        <f t="shared" si="159"/>
        <v>10000</v>
      </c>
      <c r="K442" s="30">
        <f t="shared" si="159"/>
        <v>0</v>
      </c>
      <c r="L442" s="30">
        <f t="shared" si="159"/>
        <v>0</v>
      </c>
      <c r="M442" s="30">
        <f t="shared" si="159"/>
        <v>0</v>
      </c>
      <c r="N442" s="30">
        <f t="shared" si="159"/>
        <v>50000</v>
      </c>
      <c r="O442" s="30">
        <f t="shared" si="159"/>
        <v>0</v>
      </c>
      <c r="P442" s="30">
        <f t="shared" si="159"/>
        <v>50000</v>
      </c>
      <c r="Q442" s="30">
        <f t="shared" si="159"/>
        <v>0</v>
      </c>
      <c r="R442" s="31">
        <f>Q442/$P442</f>
        <v>0</v>
      </c>
      <c r="S442" s="30">
        <f>S463+S502+S531</f>
        <v>0</v>
      </c>
      <c r="T442" s="31">
        <f>S442/$P442</f>
        <v>0</v>
      </c>
      <c r="U442" s="30">
        <f>U463+U502+U531</f>
        <v>37003.120000000003</v>
      </c>
      <c r="V442" s="31">
        <f>U442/$P442</f>
        <v>0.74006240000000001</v>
      </c>
      <c r="W442" s="30">
        <f>W463+W502+W531</f>
        <v>50000</v>
      </c>
      <c r="X442" s="31">
        <f>W442/$P442</f>
        <v>1</v>
      </c>
      <c r="Y442" s="30">
        <f>Y463+Y502+Y531</f>
        <v>0</v>
      </c>
      <c r="Z442" s="30">
        <f>Z463+Z502+Z531</f>
        <v>0</v>
      </c>
    </row>
    <row r="443" spans="1:26" x14ac:dyDescent="0.25">
      <c r="A443" s="10">
        <v>8</v>
      </c>
      <c r="D443" s="5"/>
      <c r="E443" s="29">
        <v>41</v>
      </c>
      <c r="F443" s="29" t="s">
        <v>23</v>
      </c>
      <c r="G443" s="30">
        <f t="shared" ref="G443:Q443" si="160">G449+G464+G481+G494+G503+G521+G532+G544</f>
        <v>108893.96</v>
      </c>
      <c r="H443" s="30">
        <f t="shared" si="160"/>
        <v>48692.63</v>
      </c>
      <c r="I443" s="30">
        <f t="shared" si="160"/>
        <v>179913</v>
      </c>
      <c r="J443" s="30">
        <f t="shared" si="160"/>
        <v>17117.079999999998</v>
      </c>
      <c r="K443" s="30">
        <f t="shared" si="160"/>
        <v>360450</v>
      </c>
      <c r="L443" s="30">
        <f t="shared" si="160"/>
        <v>5000</v>
      </c>
      <c r="M443" s="30">
        <f t="shared" si="160"/>
        <v>71469.22</v>
      </c>
      <c r="N443" s="30">
        <f t="shared" si="160"/>
        <v>-24450.22</v>
      </c>
      <c r="O443" s="30">
        <f t="shared" si="160"/>
        <v>0</v>
      </c>
      <c r="P443" s="30">
        <f t="shared" si="160"/>
        <v>412469</v>
      </c>
      <c r="Q443" s="30">
        <f t="shared" si="160"/>
        <v>1948</v>
      </c>
      <c r="R443" s="31">
        <f>Q443/$P443</f>
        <v>4.7227791664343263E-3</v>
      </c>
      <c r="S443" s="30">
        <f>S449+S464+S481+S494+S503+S521+S532+S544</f>
        <v>63488.34</v>
      </c>
      <c r="T443" s="31">
        <f>S443/$P443</f>
        <v>0.15392269479645743</v>
      </c>
      <c r="U443" s="30">
        <f>U449+U464+U481+U494+U503+U521+U532+U544</f>
        <v>94484.94</v>
      </c>
      <c r="V443" s="31">
        <f>U443/$P443</f>
        <v>0.22907161507895141</v>
      </c>
      <c r="W443" s="30">
        <f>W449+W464+W481+W494+W503+W521+W532+W544</f>
        <v>279817.53000000003</v>
      </c>
      <c r="X443" s="31">
        <f>W443/$P443</f>
        <v>0.67839650979831223</v>
      </c>
      <c r="Y443" s="30">
        <f>Y449+Y464+Y481+Y494+Y503+Y521+Y532+Y544</f>
        <v>254692</v>
      </c>
      <c r="Z443" s="30">
        <f>Z449+Z464+Z481+Z494+Z503+Z521+Z532+Z544</f>
        <v>242471</v>
      </c>
    </row>
    <row r="444" spans="1:26" x14ac:dyDescent="0.25">
      <c r="A444" s="10">
        <v>8</v>
      </c>
      <c r="D444" s="5"/>
      <c r="E444" s="29">
        <v>52</v>
      </c>
      <c r="F444" s="29" t="s">
        <v>26</v>
      </c>
      <c r="G444" s="30">
        <f t="shared" ref="G444:Q444" si="161">G450</f>
        <v>34488</v>
      </c>
      <c r="H444" s="30">
        <f t="shared" si="161"/>
        <v>0</v>
      </c>
      <c r="I444" s="30">
        <f t="shared" si="161"/>
        <v>0</v>
      </c>
      <c r="J444" s="30">
        <f t="shared" si="161"/>
        <v>0</v>
      </c>
      <c r="K444" s="30">
        <f t="shared" si="161"/>
        <v>0</v>
      </c>
      <c r="L444" s="30">
        <f t="shared" si="161"/>
        <v>0</v>
      </c>
      <c r="M444" s="30">
        <f t="shared" si="161"/>
        <v>0</v>
      </c>
      <c r="N444" s="30">
        <f t="shared" si="161"/>
        <v>0</v>
      </c>
      <c r="O444" s="30">
        <f t="shared" si="161"/>
        <v>0</v>
      </c>
      <c r="P444" s="30">
        <f t="shared" si="161"/>
        <v>0</v>
      </c>
      <c r="Q444" s="30">
        <f t="shared" si="161"/>
        <v>0</v>
      </c>
      <c r="R444" s="31" t="e">
        <f>Q444/$P444</f>
        <v>#DIV/0!</v>
      </c>
      <c r="S444" s="30">
        <f>S450</f>
        <v>0</v>
      </c>
      <c r="T444" s="31" t="e">
        <f>S444/$P444</f>
        <v>#DIV/0!</v>
      </c>
      <c r="U444" s="30">
        <f>U450</f>
        <v>0</v>
      </c>
      <c r="V444" s="31" t="e">
        <f>U444/$P444</f>
        <v>#DIV/0!</v>
      </c>
      <c r="W444" s="30">
        <f>W450</f>
        <v>0</v>
      </c>
      <c r="X444" s="31" t="e">
        <f>W444/$P444</f>
        <v>#DIV/0!</v>
      </c>
      <c r="Y444" s="30">
        <f>Y450</f>
        <v>0</v>
      </c>
      <c r="Z444" s="30">
        <f>Z450</f>
        <v>0</v>
      </c>
    </row>
    <row r="445" spans="1:26" x14ac:dyDescent="0.25">
      <c r="A445" s="10">
        <v>8</v>
      </c>
      <c r="D445" s="24"/>
      <c r="E445" s="25"/>
      <c r="F445" s="32" t="s">
        <v>31</v>
      </c>
      <c r="G445" s="33">
        <f t="shared" ref="G445:Q445" si="162">SUM(G442:G444)</f>
        <v>146381.96000000002</v>
      </c>
      <c r="H445" s="33">
        <f t="shared" si="162"/>
        <v>48692.63</v>
      </c>
      <c r="I445" s="33">
        <f t="shared" si="162"/>
        <v>192339</v>
      </c>
      <c r="J445" s="33">
        <f t="shared" si="162"/>
        <v>27117.079999999998</v>
      </c>
      <c r="K445" s="33">
        <f t="shared" si="162"/>
        <v>360450</v>
      </c>
      <c r="L445" s="33">
        <f t="shared" si="162"/>
        <v>5000</v>
      </c>
      <c r="M445" s="33">
        <f t="shared" si="162"/>
        <v>71469.22</v>
      </c>
      <c r="N445" s="33">
        <f t="shared" si="162"/>
        <v>25549.78</v>
      </c>
      <c r="O445" s="33">
        <f t="shared" si="162"/>
        <v>0</v>
      </c>
      <c r="P445" s="33">
        <f t="shared" si="162"/>
        <v>462469</v>
      </c>
      <c r="Q445" s="33">
        <f t="shared" si="162"/>
        <v>1948</v>
      </c>
      <c r="R445" s="34">
        <f>Q445/$P445</f>
        <v>4.2121742214072727E-3</v>
      </c>
      <c r="S445" s="33">
        <f>SUM(S442:S444)</f>
        <v>63488.34</v>
      </c>
      <c r="T445" s="34">
        <f>S445/$P445</f>
        <v>0.13728128804309045</v>
      </c>
      <c r="U445" s="33">
        <f>SUM(U442:U444)</f>
        <v>131488.06</v>
      </c>
      <c r="V445" s="34">
        <f>U445/$P445</f>
        <v>0.28431756506922623</v>
      </c>
      <c r="W445" s="33">
        <f>SUM(W442:W444)</f>
        <v>329817.53000000003</v>
      </c>
      <c r="X445" s="34">
        <f>W445/$P445</f>
        <v>0.71316678523317245</v>
      </c>
      <c r="Y445" s="33">
        <f>SUM(Y442:Y444)</f>
        <v>254692</v>
      </c>
      <c r="Z445" s="33">
        <f>SUM(Z442:Z444)</f>
        <v>242471</v>
      </c>
    </row>
    <row r="447" spans="1:26" x14ac:dyDescent="0.25">
      <c r="D447" s="35" t="s">
        <v>238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6"/>
      <c r="S447" s="35"/>
      <c r="T447" s="36"/>
      <c r="U447" s="35"/>
      <c r="V447" s="36"/>
      <c r="W447" s="35"/>
      <c r="X447" s="36"/>
      <c r="Y447" s="35"/>
      <c r="Z447" s="35"/>
    </row>
    <row r="448" spans="1:26" x14ac:dyDescent="0.25">
      <c r="D448" s="104"/>
      <c r="E448" s="16"/>
      <c r="F448" s="16"/>
      <c r="G448" s="16" t="s">
        <v>1</v>
      </c>
      <c r="H448" s="16" t="s">
        <v>2</v>
      </c>
      <c r="I448" s="16" t="s">
        <v>3</v>
      </c>
      <c r="J448" s="16" t="s">
        <v>4</v>
      </c>
      <c r="K448" s="16" t="s">
        <v>5</v>
      </c>
      <c r="L448" s="16" t="s">
        <v>6</v>
      </c>
      <c r="M448" s="16" t="s">
        <v>7</v>
      </c>
      <c r="N448" s="16" t="s">
        <v>8</v>
      </c>
      <c r="O448" s="16" t="s">
        <v>9</v>
      </c>
      <c r="P448" s="16" t="s">
        <v>10</v>
      </c>
      <c r="Q448" s="16" t="s">
        <v>11</v>
      </c>
      <c r="R448" s="17" t="s">
        <v>12</v>
      </c>
      <c r="S448" s="16" t="s">
        <v>13</v>
      </c>
      <c r="T448" s="17" t="s">
        <v>14</v>
      </c>
      <c r="U448" s="16" t="s">
        <v>15</v>
      </c>
      <c r="V448" s="17" t="s">
        <v>16</v>
      </c>
      <c r="W448" s="16" t="s">
        <v>17</v>
      </c>
      <c r="X448" s="17" t="s">
        <v>18</v>
      </c>
      <c r="Y448" s="16" t="s">
        <v>19</v>
      </c>
      <c r="Z448" s="16" t="s">
        <v>20</v>
      </c>
    </row>
    <row r="449" spans="1:26" x14ac:dyDescent="0.25">
      <c r="A449" s="10">
        <v>8</v>
      </c>
      <c r="B449" s="10">
        <v>1</v>
      </c>
      <c r="D449" s="8" t="s">
        <v>21</v>
      </c>
      <c r="E449" s="18">
        <v>41</v>
      </c>
      <c r="F449" s="18" t="s">
        <v>23</v>
      </c>
      <c r="G449" s="19">
        <f>G454+G459+G456</f>
        <v>31809.91</v>
      </c>
      <c r="H449" s="19">
        <f>H454</f>
        <v>20990.959999999999</v>
      </c>
      <c r="I449" s="19">
        <f>I454+I458</f>
        <v>38000</v>
      </c>
      <c r="J449" s="19">
        <f>J454</f>
        <v>1081.99</v>
      </c>
      <c r="K449" s="19">
        <f>35000+25000</f>
        <v>60000</v>
      </c>
      <c r="L449" s="19">
        <v>5000</v>
      </c>
      <c r="M449" s="19">
        <v>20000</v>
      </c>
      <c r="N449" s="19">
        <v>5000</v>
      </c>
      <c r="O449" s="19"/>
      <c r="P449" s="19">
        <f>K449+SUM(L449:O449)</f>
        <v>90000</v>
      </c>
      <c r="Q449" s="19">
        <v>0</v>
      </c>
      <c r="R449" s="20">
        <f>Q449/$P449</f>
        <v>0</v>
      </c>
      <c r="S449" s="19">
        <v>30314.06</v>
      </c>
      <c r="T449" s="20">
        <f>S449/$P449</f>
        <v>0.33682288888888889</v>
      </c>
      <c r="U449" s="19">
        <v>32114.06</v>
      </c>
      <c r="V449" s="20">
        <f>U449/$P449</f>
        <v>0.35682288888888891</v>
      </c>
      <c r="W449" s="19">
        <f>W454+W455</f>
        <v>85530.760000000009</v>
      </c>
      <c r="X449" s="20">
        <f>W449/$P449</f>
        <v>0.95034177777777784</v>
      </c>
      <c r="Y449" s="19">
        <v>0</v>
      </c>
      <c r="Z449" s="19">
        <v>0</v>
      </c>
    </row>
    <row r="450" spans="1:26" x14ac:dyDescent="0.25">
      <c r="A450" s="10">
        <v>8</v>
      </c>
      <c r="B450" s="10">
        <v>1</v>
      </c>
      <c r="D450" s="8"/>
      <c r="E450" s="18">
        <v>52</v>
      </c>
      <c r="F450" s="18" t="s">
        <v>26</v>
      </c>
      <c r="G450" s="19">
        <f>G457</f>
        <v>34488</v>
      </c>
      <c r="H450" s="19">
        <v>0</v>
      </c>
      <c r="I450" s="19">
        <v>0</v>
      </c>
      <c r="J450" s="19">
        <v>0</v>
      </c>
      <c r="K450" s="19">
        <v>0</v>
      </c>
      <c r="L450" s="19"/>
      <c r="M450" s="19"/>
      <c r="N450" s="19"/>
      <c r="O450" s="19"/>
      <c r="P450" s="19">
        <f>K450+SUM(L450:O450)</f>
        <v>0</v>
      </c>
      <c r="Q450" s="19">
        <v>0</v>
      </c>
      <c r="R450" s="20" t="e">
        <f>Q450/$P450</f>
        <v>#DIV/0!</v>
      </c>
      <c r="S450" s="19">
        <v>0</v>
      </c>
      <c r="T450" s="20" t="e">
        <f>S450/$P450</f>
        <v>#DIV/0!</v>
      </c>
      <c r="U450" s="19">
        <v>0</v>
      </c>
      <c r="V450" s="20" t="e">
        <f>U450/$P450</f>
        <v>#DIV/0!</v>
      </c>
      <c r="W450" s="19">
        <v>0</v>
      </c>
      <c r="X450" s="20" t="e">
        <f>W450/$P450</f>
        <v>#DIV/0!</v>
      </c>
      <c r="Y450" s="19">
        <v>0</v>
      </c>
      <c r="Z450" s="19">
        <v>0</v>
      </c>
    </row>
    <row r="451" spans="1:26" x14ac:dyDescent="0.25">
      <c r="A451" s="10">
        <v>8</v>
      </c>
      <c r="B451" s="10">
        <v>1</v>
      </c>
      <c r="D451" s="24"/>
      <c r="E451" s="25"/>
      <c r="F451" s="21" t="s">
        <v>31</v>
      </c>
      <c r="G451" s="22">
        <f t="shared" ref="G451:Q451" si="163">SUM(G449:G449)</f>
        <v>31809.91</v>
      </c>
      <c r="H451" s="22">
        <f t="shared" si="163"/>
        <v>20990.959999999999</v>
      </c>
      <c r="I451" s="22">
        <f t="shared" si="163"/>
        <v>38000</v>
      </c>
      <c r="J451" s="22">
        <f t="shared" si="163"/>
        <v>1081.99</v>
      </c>
      <c r="K451" s="22">
        <f t="shared" si="163"/>
        <v>60000</v>
      </c>
      <c r="L451" s="22">
        <f t="shared" si="163"/>
        <v>5000</v>
      </c>
      <c r="M451" s="22">
        <f t="shared" si="163"/>
        <v>20000</v>
      </c>
      <c r="N451" s="22">
        <f t="shared" si="163"/>
        <v>5000</v>
      </c>
      <c r="O451" s="22">
        <f t="shared" si="163"/>
        <v>0</v>
      </c>
      <c r="P451" s="22">
        <f t="shared" si="163"/>
        <v>90000</v>
      </c>
      <c r="Q451" s="22">
        <f t="shared" si="163"/>
        <v>0</v>
      </c>
      <c r="R451" s="23">
        <f>Q451/$P451</f>
        <v>0</v>
      </c>
      <c r="S451" s="22">
        <f>SUM(S449:S449)</f>
        <v>30314.06</v>
      </c>
      <c r="T451" s="23">
        <f>S451/$P451</f>
        <v>0.33682288888888889</v>
      </c>
      <c r="U451" s="22">
        <f>SUM(U449:U449)</f>
        <v>32114.06</v>
      </c>
      <c r="V451" s="23">
        <f>U451/$P451</f>
        <v>0.35682288888888891</v>
      </c>
      <c r="W451" s="22">
        <f>SUM(W449:W449)</f>
        <v>85530.760000000009</v>
      </c>
      <c r="X451" s="23">
        <f>W451/$P451</f>
        <v>0.95034177777777784</v>
      </c>
      <c r="Y451" s="22">
        <f>SUM(Y449:Y449)</f>
        <v>0</v>
      </c>
      <c r="Z451" s="22">
        <f>SUM(Z449:Z449)</f>
        <v>0</v>
      </c>
    </row>
    <row r="453" spans="1:26" x14ac:dyDescent="0.25">
      <c r="D453" s="10" t="s">
        <v>57</v>
      </c>
    </row>
    <row r="454" spans="1:26" x14ac:dyDescent="0.25">
      <c r="D454" s="8" t="s">
        <v>239</v>
      </c>
      <c r="E454" s="73" t="s">
        <v>240</v>
      </c>
      <c r="F454" s="74"/>
      <c r="G454" s="75">
        <v>7809.91</v>
      </c>
      <c r="H454" s="75">
        <v>20990.959999999999</v>
      </c>
      <c r="I454" s="75">
        <v>28000</v>
      </c>
      <c r="J454" s="75">
        <v>1081.99</v>
      </c>
      <c r="K454" s="75">
        <v>35000</v>
      </c>
      <c r="L454" s="75"/>
      <c r="M454" s="75">
        <v>20000</v>
      </c>
      <c r="N454" s="75">
        <v>5000</v>
      </c>
      <c r="O454" s="75"/>
      <c r="P454" s="75">
        <f t="shared" ref="P454:P459" si="164">K454+SUM(L454:O454)</f>
        <v>60000</v>
      </c>
      <c r="Q454" s="75">
        <v>0</v>
      </c>
      <c r="R454" s="76">
        <f t="shared" ref="R454:R459" si="165">Q454/$P454</f>
        <v>0</v>
      </c>
      <c r="S454" s="75">
        <v>414.06</v>
      </c>
      <c r="T454" s="76">
        <f t="shared" ref="T454:T459" si="166">S454/$P454</f>
        <v>6.901E-3</v>
      </c>
      <c r="U454" s="75">
        <v>2214.06</v>
      </c>
      <c r="V454" s="76">
        <f t="shared" ref="V454:V459" si="167">U454/$P454</f>
        <v>3.6900999999999996E-2</v>
      </c>
      <c r="W454" s="75">
        <v>55630.76</v>
      </c>
      <c r="X454" s="77">
        <f t="shared" ref="X454:X459" si="168">W454/$P454</f>
        <v>0.92717933333333336</v>
      </c>
      <c r="Y454" s="75"/>
      <c r="Z454" s="78"/>
    </row>
    <row r="455" spans="1:26" x14ac:dyDescent="0.25">
      <c r="D455" s="8"/>
      <c r="E455" s="73" t="s">
        <v>241</v>
      </c>
      <c r="F455" s="74"/>
      <c r="G455" s="75"/>
      <c r="H455" s="75"/>
      <c r="I455" s="75"/>
      <c r="J455" s="75"/>
      <c r="K455" s="75">
        <v>25000</v>
      </c>
      <c r="L455" s="75">
        <v>5000</v>
      </c>
      <c r="M455" s="75"/>
      <c r="N455" s="75"/>
      <c r="O455" s="75"/>
      <c r="P455" s="75">
        <f t="shared" si="164"/>
        <v>30000</v>
      </c>
      <c r="Q455" s="75">
        <v>0</v>
      </c>
      <c r="R455" s="76">
        <f t="shared" si="165"/>
        <v>0</v>
      </c>
      <c r="S455" s="75">
        <v>29900</v>
      </c>
      <c r="T455" s="76">
        <f t="shared" si="166"/>
        <v>0.9966666666666667</v>
      </c>
      <c r="U455" s="75">
        <v>29900</v>
      </c>
      <c r="V455" s="76">
        <f t="shared" si="167"/>
        <v>0.9966666666666667</v>
      </c>
      <c r="W455" s="75">
        <v>29900</v>
      </c>
      <c r="X455" s="77">
        <f t="shared" si="168"/>
        <v>0.9966666666666667</v>
      </c>
      <c r="Y455" s="75"/>
      <c r="Z455" s="78"/>
    </row>
    <row r="456" spans="1:26" x14ac:dyDescent="0.25">
      <c r="D456" s="8"/>
      <c r="E456" s="73" t="s">
        <v>242</v>
      </c>
      <c r="F456" s="74"/>
      <c r="G456" s="75">
        <v>12600</v>
      </c>
      <c r="H456" s="75"/>
      <c r="I456" s="75"/>
      <c r="J456" s="75"/>
      <c r="K456" s="75"/>
      <c r="L456" s="75"/>
      <c r="M456" s="75"/>
      <c r="N456" s="75"/>
      <c r="O456" s="75"/>
      <c r="P456" s="75">
        <f t="shared" si="164"/>
        <v>0</v>
      </c>
      <c r="Q456" s="75">
        <v>0</v>
      </c>
      <c r="R456" s="76" t="e">
        <f t="shared" si="165"/>
        <v>#DIV/0!</v>
      </c>
      <c r="S456" s="75"/>
      <c r="T456" s="76" t="e">
        <f t="shared" si="166"/>
        <v>#DIV/0!</v>
      </c>
      <c r="U456" s="75"/>
      <c r="V456" s="76" t="e">
        <f t="shared" si="167"/>
        <v>#DIV/0!</v>
      </c>
      <c r="W456" s="75"/>
      <c r="X456" s="77" t="e">
        <f t="shared" si="168"/>
        <v>#DIV/0!</v>
      </c>
      <c r="Y456" s="75"/>
      <c r="Z456" s="78"/>
    </row>
    <row r="457" spans="1:26" x14ac:dyDescent="0.25">
      <c r="D457" s="8"/>
      <c r="E457" s="73" t="s">
        <v>243</v>
      </c>
      <c r="F457" s="74"/>
      <c r="G457" s="75">
        <v>34488</v>
      </c>
      <c r="H457" s="75"/>
      <c r="I457" s="75"/>
      <c r="J457" s="75"/>
      <c r="K457" s="75"/>
      <c r="L457" s="75"/>
      <c r="M457" s="75"/>
      <c r="N457" s="75"/>
      <c r="O457" s="75"/>
      <c r="P457" s="75">
        <f t="shared" si="164"/>
        <v>0</v>
      </c>
      <c r="Q457" s="75">
        <v>0</v>
      </c>
      <c r="R457" s="76" t="e">
        <f t="shared" si="165"/>
        <v>#DIV/0!</v>
      </c>
      <c r="S457" s="75"/>
      <c r="T457" s="76" t="e">
        <f t="shared" si="166"/>
        <v>#DIV/0!</v>
      </c>
      <c r="U457" s="75"/>
      <c r="V457" s="76" t="e">
        <f t="shared" si="167"/>
        <v>#DIV/0!</v>
      </c>
      <c r="W457" s="75"/>
      <c r="X457" s="77" t="e">
        <f t="shared" si="168"/>
        <v>#DIV/0!</v>
      </c>
      <c r="Y457" s="75"/>
      <c r="Z457" s="78"/>
    </row>
    <row r="458" spans="1:26" x14ac:dyDescent="0.25">
      <c r="D458" s="8"/>
      <c r="E458" s="73" t="s">
        <v>244</v>
      </c>
      <c r="F458" s="74"/>
      <c r="G458" s="75"/>
      <c r="H458" s="75"/>
      <c r="I458" s="75">
        <v>10000</v>
      </c>
      <c r="J458" s="75">
        <v>0</v>
      </c>
      <c r="K458" s="75"/>
      <c r="L458" s="75"/>
      <c r="M458" s="75"/>
      <c r="N458" s="75"/>
      <c r="O458" s="75"/>
      <c r="P458" s="75">
        <f t="shared" si="164"/>
        <v>0</v>
      </c>
      <c r="Q458" s="75">
        <v>0</v>
      </c>
      <c r="R458" s="76" t="e">
        <f t="shared" si="165"/>
        <v>#DIV/0!</v>
      </c>
      <c r="S458" s="75"/>
      <c r="T458" s="76" t="e">
        <f t="shared" si="166"/>
        <v>#DIV/0!</v>
      </c>
      <c r="U458" s="75"/>
      <c r="V458" s="76" t="e">
        <f t="shared" si="167"/>
        <v>#DIV/0!</v>
      </c>
      <c r="W458" s="75"/>
      <c r="X458" s="77" t="e">
        <f t="shared" si="168"/>
        <v>#DIV/0!</v>
      </c>
      <c r="Y458" s="75"/>
      <c r="Z458" s="78"/>
    </row>
    <row r="459" spans="1:26" x14ac:dyDescent="0.25">
      <c r="D459" s="8"/>
      <c r="E459" s="73" t="s">
        <v>245</v>
      </c>
      <c r="F459" s="74"/>
      <c r="G459" s="75">
        <v>11400</v>
      </c>
      <c r="H459" s="75"/>
      <c r="I459" s="75"/>
      <c r="J459" s="75"/>
      <c r="K459" s="75"/>
      <c r="L459" s="75"/>
      <c r="M459" s="75"/>
      <c r="N459" s="75"/>
      <c r="O459" s="75"/>
      <c r="P459" s="75">
        <f t="shared" si="164"/>
        <v>0</v>
      </c>
      <c r="Q459" s="75">
        <v>0</v>
      </c>
      <c r="R459" s="76" t="e">
        <f t="shared" si="165"/>
        <v>#DIV/0!</v>
      </c>
      <c r="S459" s="75"/>
      <c r="T459" s="76" t="e">
        <f t="shared" si="166"/>
        <v>#DIV/0!</v>
      </c>
      <c r="U459" s="75"/>
      <c r="V459" s="76" t="e">
        <f t="shared" si="167"/>
        <v>#DIV/0!</v>
      </c>
      <c r="W459" s="75"/>
      <c r="X459" s="77" t="e">
        <f t="shared" si="168"/>
        <v>#DIV/0!</v>
      </c>
      <c r="Y459" s="75"/>
      <c r="Z459" s="78"/>
    </row>
    <row r="461" spans="1:26" x14ac:dyDescent="0.25">
      <c r="D461" s="35" t="s">
        <v>246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6"/>
      <c r="S461" s="35"/>
      <c r="T461" s="36"/>
      <c r="U461" s="35"/>
      <c r="V461" s="36"/>
      <c r="W461" s="35"/>
      <c r="X461" s="36"/>
      <c r="Y461" s="35"/>
      <c r="Z461" s="35"/>
    </row>
    <row r="462" spans="1:26" x14ac:dyDescent="0.25">
      <c r="D462" s="104"/>
      <c r="E462" s="16"/>
      <c r="F462" s="16"/>
      <c r="G462" s="16" t="s">
        <v>1</v>
      </c>
      <c r="H462" s="16" t="s">
        <v>2</v>
      </c>
      <c r="I462" s="16" t="s">
        <v>3</v>
      </c>
      <c r="J462" s="16" t="s">
        <v>4</v>
      </c>
      <c r="K462" s="16" t="s">
        <v>5</v>
      </c>
      <c r="L462" s="16" t="s">
        <v>6</v>
      </c>
      <c r="M462" s="16" t="s">
        <v>7</v>
      </c>
      <c r="N462" s="16" t="s">
        <v>8</v>
      </c>
      <c r="O462" s="16" t="s">
        <v>9</v>
      </c>
      <c r="P462" s="16" t="s">
        <v>10</v>
      </c>
      <c r="Q462" s="16" t="s">
        <v>11</v>
      </c>
      <c r="R462" s="17" t="s">
        <v>12</v>
      </c>
      <c r="S462" s="16" t="s">
        <v>13</v>
      </c>
      <c r="T462" s="17" t="s">
        <v>14</v>
      </c>
      <c r="U462" s="16" t="s">
        <v>15</v>
      </c>
      <c r="V462" s="17" t="s">
        <v>16</v>
      </c>
      <c r="W462" s="16" t="s">
        <v>17</v>
      </c>
      <c r="X462" s="17" t="s">
        <v>18</v>
      </c>
      <c r="Y462" s="16" t="s">
        <v>19</v>
      </c>
      <c r="Z462" s="16" t="s">
        <v>20</v>
      </c>
    </row>
    <row r="463" spans="1:26" x14ac:dyDescent="0.25">
      <c r="A463" s="10">
        <v>8</v>
      </c>
      <c r="B463" s="10">
        <v>2</v>
      </c>
      <c r="D463" s="105" t="s">
        <v>21</v>
      </c>
      <c r="E463" s="18">
        <v>111</v>
      </c>
      <c r="F463" s="18" t="s">
        <v>139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/>
      <c r="M463" s="19"/>
      <c r="N463" s="19">
        <v>50000</v>
      </c>
      <c r="O463" s="19"/>
      <c r="P463" s="19">
        <f>K463+SUM(L463:O463)</f>
        <v>50000</v>
      </c>
      <c r="Q463" s="19">
        <v>0</v>
      </c>
      <c r="R463" s="20">
        <f>Q463/$P463</f>
        <v>0</v>
      </c>
      <c r="S463" s="19">
        <v>0</v>
      </c>
      <c r="T463" s="20">
        <f>S463/$P463</f>
        <v>0</v>
      </c>
      <c r="U463" s="19">
        <v>37003.120000000003</v>
      </c>
      <c r="V463" s="20">
        <f>U463/$P463</f>
        <v>0.74006240000000001</v>
      </c>
      <c r="W463" s="19">
        <v>50000</v>
      </c>
      <c r="X463" s="20">
        <f>W463/$P463</f>
        <v>1</v>
      </c>
      <c r="Y463" s="19">
        <v>0</v>
      </c>
      <c r="Z463" s="19">
        <v>0</v>
      </c>
    </row>
    <row r="464" spans="1:26" x14ac:dyDescent="0.25">
      <c r="A464" s="10">
        <v>8</v>
      </c>
      <c r="B464" s="10">
        <v>2</v>
      </c>
      <c r="D464" s="105" t="s">
        <v>21</v>
      </c>
      <c r="E464" s="18">
        <v>41</v>
      </c>
      <c r="F464" s="18" t="s">
        <v>23</v>
      </c>
      <c r="G464" s="19">
        <f t="shared" ref="G464:M464" si="169">SUM(G468:G477)</f>
        <v>29551.14</v>
      </c>
      <c r="H464" s="19">
        <f t="shared" si="169"/>
        <v>13900.369999999999</v>
      </c>
      <c r="I464" s="19">
        <f t="shared" si="169"/>
        <v>29574</v>
      </c>
      <c r="J464" s="19">
        <f t="shared" si="169"/>
        <v>2196</v>
      </c>
      <c r="K464" s="19">
        <f t="shared" si="169"/>
        <v>39450</v>
      </c>
      <c r="L464" s="19">
        <f t="shared" si="169"/>
        <v>0</v>
      </c>
      <c r="M464" s="19">
        <f t="shared" si="169"/>
        <v>21849.22</v>
      </c>
      <c r="N464" s="19">
        <f>SUM(N468:N477)-N463</f>
        <v>-14450.220000000001</v>
      </c>
      <c r="O464" s="19">
        <f>SUM(O468:O477)</f>
        <v>0</v>
      </c>
      <c r="P464" s="19">
        <f>SUM(P468:P477)-P463</f>
        <v>46849</v>
      </c>
      <c r="Q464" s="19">
        <f>SUM(Q468:Q477)</f>
        <v>1398</v>
      </c>
      <c r="R464" s="20">
        <f>Q464/$P464</f>
        <v>2.9840551559264874E-2</v>
      </c>
      <c r="S464" s="19">
        <f>SUM(S468:S477)</f>
        <v>5865.2</v>
      </c>
      <c r="T464" s="20">
        <f>S464/$P464</f>
        <v>0.12519370744306174</v>
      </c>
      <c r="U464" s="19">
        <f>SUM(U468:U477)-U463</f>
        <v>6165.1999999999971</v>
      </c>
      <c r="V464" s="20">
        <f>U464/$P464</f>
        <v>0.13159725927981381</v>
      </c>
      <c r="W464" s="19">
        <f>SUM(W468:W477)-W463</f>
        <v>35244.739999999991</v>
      </c>
      <c r="X464" s="20">
        <f>W464/$P464</f>
        <v>0.75230506520950269</v>
      </c>
      <c r="Y464" s="19">
        <f>SUM(Y468:Y477)</f>
        <v>28650</v>
      </c>
      <c r="Z464" s="19">
        <f>SUM(Z468:Z477)</f>
        <v>22350</v>
      </c>
    </row>
    <row r="465" spans="1:26" x14ac:dyDescent="0.25">
      <c r="A465" s="10">
        <v>8</v>
      </c>
      <c r="B465" s="10">
        <v>2</v>
      </c>
      <c r="D465" s="24"/>
      <c r="E465" s="25"/>
      <c r="F465" s="21" t="s">
        <v>31</v>
      </c>
      <c r="G465" s="22">
        <f t="shared" ref="G465:Q465" si="170">SUM(G463:G464)</f>
        <v>29551.14</v>
      </c>
      <c r="H465" s="22">
        <f t="shared" si="170"/>
        <v>13900.369999999999</v>
      </c>
      <c r="I465" s="22">
        <f t="shared" si="170"/>
        <v>29574</v>
      </c>
      <c r="J465" s="22">
        <f t="shared" si="170"/>
        <v>2196</v>
      </c>
      <c r="K465" s="22">
        <f t="shared" si="170"/>
        <v>39450</v>
      </c>
      <c r="L465" s="22">
        <f t="shared" si="170"/>
        <v>0</v>
      </c>
      <c r="M465" s="22">
        <f t="shared" si="170"/>
        <v>21849.22</v>
      </c>
      <c r="N465" s="22">
        <f t="shared" si="170"/>
        <v>35549.78</v>
      </c>
      <c r="O465" s="22">
        <f t="shared" si="170"/>
        <v>0</v>
      </c>
      <c r="P465" s="22">
        <f t="shared" si="170"/>
        <v>96849</v>
      </c>
      <c r="Q465" s="22">
        <f t="shared" si="170"/>
        <v>1398</v>
      </c>
      <c r="R465" s="23">
        <f>Q465/$P465</f>
        <v>1.4434841867236627E-2</v>
      </c>
      <c r="S465" s="22">
        <f>SUM(S463:S464)</f>
        <v>5865.2</v>
      </c>
      <c r="T465" s="23">
        <f>S465/$P465</f>
        <v>6.05602535906411E-2</v>
      </c>
      <c r="U465" s="22">
        <f>SUM(U463:U464)</f>
        <v>43168.32</v>
      </c>
      <c r="V465" s="23">
        <f>U465/$P465</f>
        <v>0.44572809218474119</v>
      </c>
      <c r="W465" s="22">
        <f>SUM(W463:W464)</f>
        <v>85244.739999999991</v>
      </c>
      <c r="X465" s="23">
        <f>W465/$P465</f>
        <v>0.88018193269935663</v>
      </c>
      <c r="Y465" s="22">
        <f>SUM(Y463:Y464)</f>
        <v>28650</v>
      </c>
      <c r="Z465" s="22">
        <f>SUM(Z463:Z464)</f>
        <v>22350</v>
      </c>
    </row>
    <row r="467" spans="1:26" x14ac:dyDescent="0.25">
      <c r="D467" s="10" t="s">
        <v>57</v>
      </c>
    </row>
    <row r="468" spans="1:26" x14ac:dyDescent="0.25">
      <c r="D468" s="8" t="s">
        <v>247</v>
      </c>
      <c r="E468" s="73" t="s">
        <v>248</v>
      </c>
      <c r="F468" s="74"/>
      <c r="G468" s="75">
        <v>7083.52</v>
      </c>
      <c r="H468" s="75">
        <v>3231.29</v>
      </c>
      <c r="I468" s="75"/>
      <c r="J468" s="75"/>
      <c r="K468" s="75"/>
      <c r="L468" s="75"/>
      <c r="M468" s="75">
        <v>21849.22</v>
      </c>
      <c r="N468" s="75">
        <v>-0.22</v>
      </c>
      <c r="O468" s="75"/>
      <c r="P468" s="75">
        <f t="shared" ref="P468:P477" si="171">K468+SUM(L468:O468)</f>
        <v>21849</v>
      </c>
      <c r="Q468" s="75">
        <v>900</v>
      </c>
      <c r="R468" s="76">
        <f t="shared" ref="R468:R477" si="172">Q468/$P468</f>
        <v>4.1191816559110257E-2</v>
      </c>
      <c r="S468" s="75">
        <v>4169.2</v>
      </c>
      <c r="T468" s="76">
        <f t="shared" ref="T468:T477" si="173">S468/$P468</f>
        <v>0.19081880177582497</v>
      </c>
      <c r="U468" s="75">
        <v>4169.2</v>
      </c>
      <c r="V468" s="76">
        <f t="shared" ref="V468:V477" si="174">U468/$P468</f>
        <v>0.19081880177582497</v>
      </c>
      <c r="W468" s="75">
        <v>11009.2</v>
      </c>
      <c r="X468" s="77">
        <f t="shared" ref="X468:X477" si="175">W468/$P468</f>
        <v>0.50387660762506292</v>
      </c>
      <c r="Y468" s="75"/>
      <c r="Z468" s="78"/>
    </row>
    <row r="469" spans="1:26" x14ac:dyDescent="0.25">
      <c r="D469" s="8"/>
      <c r="E469" s="73" t="s">
        <v>249</v>
      </c>
      <c r="F469" s="74"/>
      <c r="G469" s="75"/>
      <c r="H469" s="75">
        <v>2262</v>
      </c>
      <c r="I469" s="75"/>
      <c r="J469" s="75"/>
      <c r="K469" s="75"/>
      <c r="L469" s="75"/>
      <c r="M469" s="75"/>
      <c r="N469" s="75"/>
      <c r="O469" s="75"/>
      <c r="P469" s="75">
        <f t="shared" si="171"/>
        <v>0</v>
      </c>
      <c r="Q469" s="75"/>
      <c r="R469" s="76" t="e">
        <f t="shared" si="172"/>
        <v>#DIV/0!</v>
      </c>
      <c r="S469" s="75"/>
      <c r="T469" s="76" t="e">
        <f t="shared" si="173"/>
        <v>#DIV/0!</v>
      </c>
      <c r="U469" s="75"/>
      <c r="V469" s="76" t="e">
        <f t="shared" si="174"/>
        <v>#DIV/0!</v>
      </c>
      <c r="W469" s="75"/>
      <c r="X469" s="77" t="e">
        <f t="shared" si="175"/>
        <v>#DIV/0!</v>
      </c>
      <c r="Y469" s="75"/>
      <c r="Z469" s="78"/>
    </row>
    <row r="470" spans="1:26" x14ac:dyDescent="0.25">
      <c r="D470" s="8"/>
      <c r="E470" s="73" t="s">
        <v>250</v>
      </c>
      <c r="F470" s="74"/>
      <c r="G470" s="75"/>
      <c r="H470" s="75"/>
      <c r="I470" s="75">
        <v>9808</v>
      </c>
      <c r="J470" s="75">
        <v>2196</v>
      </c>
      <c r="K470" s="75">
        <v>14450</v>
      </c>
      <c r="L470" s="75"/>
      <c r="M470" s="75"/>
      <c r="N470" s="75">
        <v>-14450</v>
      </c>
      <c r="O470" s="75"/>
      <c r="P470" s="75">
        <f t="shared" si="171"/>
        <v>0</v>
      </c>
      <c r="Q470" s="75"/>
      <c r="R470" s="76" t="e">
        <f t="shared" si="172"/>
        <v>#DIV/0!</v>
      </c>
      <c r="S470" s="75"/>
      <c r="T470" s="76" t="e">
        <f t="shared" si="173"/>
        <v>#DIV/0!</v>
      </c>
      <c r="U470" s="75"/>
      <c r="V470" s="76" t="e">
        <f t="shared" si="174"/>
        <v>#DIV/0!</v>
      </c>
      <c r="W470" s="75"/>
      <c r="X470" s="77" t="e">
        <f t="shared" si="175"/>
        <v>#DIV/0!</v>
      </c>
      <c r="Y470" s="75">
        <v>8650</v>
      </c>
      <c r="Z470" s="78">
        <v>2350</v>
      </c>
    </row>
    <row r="471" spans="1:26" x14ac:dyDescent="0.25">
      <c r="D471" s="8" t="s">
        <v>251</v>
      </c>
      <c r="E471" s="73" t="s">
        <v>252</v>
      </c>
      <c r="F471" s="74"/>
      <c r="G471" s="75">
        <v>10554.26</v>
      </c>
      <c r="H471" s="75"/>
      <c r="I471" s="75"/>
      <c r="J471" s="75"/>
      <c r="K471" s="75"/>
      <c r="L471" s="75"/>
      <c r="M471" s="75"/>
      <c r="N471" s="75"/>
      <c r="O471" s="75"/>
      <c r="P471" s="75">
        <f t="shared" si="171"/>
        <v>0</v>
      </c>
      <c r="Q471" s="75"/>
      <c r="R471" s="76" t="e">
        <f t="shared" si="172"/>
        <v>#DIV/0!</v>
      </c>
      <c r="S471" s="75"/>
      <c r="T471" s="76" t="e">
        <f t="shared" si="173"/>
        <v>#DIV/0!</v>
      </c>
      <c r="U471" s="75"/>
      <c r="V471" s="76" t="e">
        <f t="shared" si="174"/>
        <v>#DIV/0!</v>
      </c>
      <c r="W471" s="75"/>
      <c r="X471" s="77" t="e">
        <f t="shared" si="175"/>
        <v>#DIV/0!</v>
      </c>
      <c r="Y471" s="75"/>
      <c r="Z471" s="78"/>
    </row>
    <row r="472" spans="1:26" x14ac:dyDescent="0.25">
      <c r="D472" s="8"/>
      <c r="E472" s="73" t="s">
        <v>253</v>
      </c>
      <c r="F472" s="74"/>
      <c r="G472" s="75">
        <v>11913.36</v>
      </c>
      <c r="H472" s="75"/>
      <c r="I472" s="75"/>
      <c r="J472" s="75"/>
      <c r="K472" s="75"/>
      <c r="L472" s="75"/>
      <c r="M472" s="75"/>
      <c r="N472" s="75"/>
      <c r="O472" s="75"/>
      <c r="P472" s="75">
        <f t="shared" si="171"/>
        <v>0</v>
      </c>
      <c r="Q472" s="75"/>
      <c r="R472" s="76" t="e">
        <f t="shared" si="172"/>
        <v>#DIV/0!</v>
      </c>
      <c r="S472" s="75"/>
      <c r="T472" s="76" t="e">
        <f t="shared" si="173"/>
        <v>#DIV/0!</v>
      </c>
      <c r="U472" s="75"/>
      <c r="V472" s="76" t="e">
        <f t="shared" si="174"/>
        <v>#DIV/0!</v>
      </c>
      <c r="W472" s="75"/>
      <c r="X472" s="77" t="e">
        <f t="shared" si="175"/>
        <v>#DIV/0!</v>
      </c>
      <c r="Y472" s="75"/>
      <c r="Z472" s="78"/>
    </row>
    <row r="473" spans="1:26" x14ac:dyDescent="0.25">
      <c r="D473" s="8"/>
      <c r="E473" s="73" t="s">
        <v>254</v>
      </c>
      <c r="F473" s="74"/>
      <c r="G473" s="75"/>
      <c r="H473" s="75">
        <v>8407.08</v>
      </c>
      <c r="I473" s="75"/>
      <c r="J473" s="75"/>
      <c r="K473" s="75"/>
      <c r="L473" s="75"/>
      <c r="M473" s="75"/>
      <c r="N473" s="75"/>
      <c r="O473" s="75"/>
      <c r="P473" s="75">
        <f t="shared" si="171"/>
        <v>0</v>
      </c>
      <c r="Q473" s="75"/>
      <c r="R473" s="76" t="e">
        <f t="shared" si="172"/>
        <v>#DIV/0!</v>
      </c>
      <c r="S473" s="75"/>
      <c r="T473" s="76" t="e">
        <f t="shared" si="173"/>
        <v>#DIV/0!</v>
      </c>
      <c r="U473" s="75"/>
      <c r="V473" s="76" t="e">
        <f t="shared" si="174"/>
        <v>#DIV/0!</v>
      </c>
      <c r="W473" s="75"/>
      <c r="X473" s="77" t="e">
        <f t="shared" si="175"/>
        <v>#DIV/0!</v>
      </c>
      <c r="Y473" s="75"/>
      <c r="Z473" s="78"/>
    </row>
    <row r="474" spans="1:26" x14ac:dyDescent="0.25">
      <c r="D474" s="8"/>
      <c r="E474" s="106" t="s">
        <v>255</v>
      </c>
      <c r="F474" s="74"/>
      <c r="G474" s="75"/>
      <c r="H474" s="75"/>
      <c r="I474" s="75">
        <v>2000</v>
      </c>
      <c r="J474" s="75">
        <v>0</v>
      </c>
      <c r="K474" s="75"/>
      <c r="L474" s="75"/>
      <c r="M474" s="75"/>
      <c r="N474" s="75"/>
      <c r="O474" s="75"/>
      <c r="P474" s="75">
        <f t="shared" si="171"/>
        <v>0</v>
      </c>
      <c r="Q474" s="75"/>
      <c r="R474" s="76" t="e">
        <f t="shared" si="172"/>
        <v>#DIV/0!</v>
      </c>
      <c r="S474" s="75"/>
      <c r="T474" s="76" t="e">
        <f t="shared" si="173"/>
        <v>#DIV/0!</v>
      </c>
      <c r="U474" s="75"/>
      <c r="V474" s="76" t="e">
        <f t="shared" si="174"/>
        <v>#DIV/0!</v>
      </c>
      <c r="W474" s="75"/>
      <c r="X474" s="77" t="e">
        <f t="shared" si="175"/>
        <v>#DIV/0!</v>
      </c>
      <c r="Y474" s="75"/>
      <c r="Z474" s="78"/>
    </row>
    <row r="475" spans="1:26" x14ac:dyDescent="0.25">
      <c r="D475" s="8"/>
      <c r="E475" s="106" t="s">
        <v>256</v>
      </c>
      <c r="F475" s="74"/>
      <c r="G475" s="75"/>
      <c r="H475" s="75"/>
      <c r="I475" s="75">
        <v>17766</v>
      </c>
      <c r="J475" s="75">
        <v>0</v>
      </c>
      <c r="K475" s="75">
        <v>20000</v>
      </c>
      <c r="L475" s="75"/>
      <c r="M475" s="75">
        <v>1000</v>
      </c>
      <c r="N475" s="75">
        <f>3000+50000</f>
        <v>53000</v>
      </c>
      <c r="O475" s="75"/>
      <c r="P475" s="75">
        <f t="shared" si="171"/>
        <v>74000</v>
      </c>
      <c r="Q475" s="75">
        <v>0</v>
      </c>
      <c r="R475" s="76">
        <f t="shared" si="172"/>
        <v>0</v>
      </c>
      <c r="S475" s="75">
        <v>1198</v>
      </c>
      <c r="T475" s="76">
        <f t="shared" si="173"/>
        <v>1.6189189189189188E-2</v>
      </c>
      <c r="U475" s="75">
        <v>38501.120000000003</v>
      </c>
      <c r="V475" s="76">
        <f t="shared" si="174"/>
        <v>0.52028540540540547</v>
      </c>
      <c r="W475" s="75">
        <v>73737.539999999994</v>
      </c>
      <c r="X475" s="77">
        <f t="shared" si="175"/>
        <v>0.99645324324324314</v>
      </c>
      <c r="Y475" s="75"/>
      <c r="Z475" s="78"/>
    </row>
    <row r="476" spans="1:26" x14ac:dyDescent="0.25">
      <c r="D476" s="8"/>
      <c r="E476" s="106" t="s">
        <v>257</v>
      </c>
      <c r="F476" s="74"/>
      <c r="G476" s="75"/>
      <c r="H476" s="75"/>
      <c r="I476" s="75"/>
      <c r="J476" s="75"/>
      <c r="K476" s="75">
        <v>5000</v>
      </c>
      <c r="L476" s="75"/>
      <c r="M476" s="75">
        <v>-1000</v>
      </c>
      <c r="N476" s="75">
        <v>-3000</v>
      </c>
      <c r="O476" s="75"/>
      <c r="P476" s="75">
        <f t="shared" si="171"/>
        <v>1000</v>
      </c>
      <c r="Q476" s="75">
        <v>498</v>
      </c>
      <c r="R476" s="76">
        <f t="shared" si="172"/>
        <v>0.498</v>
      </c>
      <c r="S476" s="75">
        <v>498</v>
      </c>
      <c r="T476" s="76">
        <f t="shared" si="173"/>
        <v>0.498</v>
      </c>
      <c r="U476" s="75">
        <v>498</v>
      </c>
      <c r="V476" s="76">
        <f t="shared" si="174"/>
        <v>0.498</v>
      </c>
      <c r="W476" s="75">
        <v>498</v>
      </c>
      <c r="X476" s="77">
        <f t="shared" si="175"/>
        <v>0.498</v>
      </c>
      <c r="Y476" s="75"/>
      <c r="Z476" s="78"/>
    </row>
    <row r="477" spans="1:26" x14ac:dyDescent="0.25">
      <c r="D477" s="8"/>
      <c r="E477" s="106" t="s">
        <v>258</v>
      </c>
      <c r="F477" s="74"/>
      <c r="G477" s="75"/>
      <c r="H477" s="75"/>
      <c r="I477" s="75"/>
      <c r="J477" s="75">
        <v>0</v>
      </c>
      <c r="K477" s="75"/>
      <c r="L477" s="75"/>
      <c r="M477" s="75"/>
      <c r="N477" s="75"/>
      <c r="O477" s="75"/>
      <c r="P477" s="75">
        <f t="shared" si="171"/>
        <v>0</v>
      </c>
      <c r="Q477" s="75"/>
      <c r="R477" s="76" t="e">
        <f t="shared" si="172"/>
        <v>#DIV/0!</v>
      </c>
      <c r="S477" s="75"/>
      <c r="T477" s="76" t="e">
        <f t="shared" si="173"/>
        <v>#DIV/0!</v>
      </c>
      <c r="U477" s="75"/>
      <c r="V477" s="76" t="e">
        <f t="shared" si="174"/>
        <v>#DIV/0!</v>
      </c>
      <c r="W477" s="75"/>
      <c r="X477" s="77" t="e">
        <f t="shared" si="175"/>
        <v>#DIV/0!</v>
      </c>
      <c r="Y477" s="75">
        <v>20000</v>
      </c>
      <c r="Z477" s="78">
        <v>20000</v>
      </c>
    </row>
    <row r="479" spans="1:26" x14ac:dyDescent="0.25">
      <c r="D479" s="35" t="s">
        <v>259</v>
      </c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6"/>
      <c r="S479" s="35"/>
      <c r="T479" s="36"/>
      <c r="U479" s="35"/>
      <c r="V479" s="36"/>
      <c r="W479" s="35"/>
      <c r="X479" s="36"/>
      <c r="Y479" s="35"/>
      <c r="Z479" s="35"/>
    </row>
    <row r="480" spans="1:26" x14ac:dyDescent="0.25">
      <c r="D480" s="104"/>
      <c r="E480" s="16"/>
      <c r="F480" s="16"/>
      <c r="G480" s="16" t="s">
        <v>1</v>
      </c>
      <c r="H480" s="16" t="s">
        <v>2</v>
      </c>
      <c r="I480" s="16" t="s">
        <v>3</v>
      </c>
      <c r="J480" s="16" t="s">
        <v>4</v>
      </c>
      <c r="K480" s="16" t="s">
        <v>5</v>
      </c>
      <c r="L480" s="16" t="s">
        <v>6</v>
      </c>
      <c r="M480" s="16" t="s">
        <v>7</v>
      </c>
      <c r="N480" s="16" t="s">
        <v>8</v>
      </c>
      <c r="O480" s="16" t="s">
        <v>9</v>
      </c>
      <c r="P480" s="16" t="s">
        <v>10</v>
      </c>
      <c r="Q480" s="16" t="s">
        <v>11</v>
      </c>
      <c r="R480" s="17" t="s">
        <v>12</v>
      </c>
      <c r="S480" s="16" t="s">
        <v>13</v>
      </c>
      <c r="T480" s="17" t="s">
        <v>14</v>
      </c>
      <c r="U480" s="16" t="s">
        <v>15</v>
      </c>
      <c r="V480" s="17" t="s">
        <v>16</v>
      </c>
      <c r="W480" s="16" t="s">
        <v>17</v>
      </c>
      <c r="X480" s="17" t="s">
        <v>18</v>
      </c>
      <c r="Y480" s="16" t="s">
        <v>19</v>
      </c>
      <c r="Z480" s="16" t="s">
        <v>20</v>
      </c>
    </row>
    <row r="481" spans="1:26" x14ac:dyDescent="0.25">
      <c r="A481" s="10">
        <v>8</v>
      </c>
      <c r="B481" s="10">
        <v>3</v>
      </c>
      <c r="D481" s="105" t="s">
        <v>21</v>
      </c>
      <c r="E481" s="18">
        <v>41</v>
      </c>
      <c r="F481" s="18" t="s">
        <v>23</v>
      </c>
      <c r="G481" s="19">
        <f t="shared" ref="G481:Q481" si="176">SUM(G485:G490)</f>
        <v>17795.97</v>
      </c>
      <c r="H481" s="19">
        <f t="shared" si="176"/>
        <v>2285.56</v>
      </c>
      <c r="I481" s="19">
        <f t="shared" si="176"/>
        <v>25000</v>
      </c>
      <c r="J481" s="19">
        <f t="shared" si="176"/>
        <v>360.81</v>
      </c>
      <c r="K481" s="19">
        <f t="shared" si="176"/>
        <v>50000</v>
      </c>
      <c r="L481" s="19">
        <f t="shared" si="176"/>
        <v>0</v>
      </c>
      <c r="M481" s="19">
        <f t="shared" si="176"/>
        <v>0</v>
      </c>
      <c r="N481" s="19">
        <f t="shared" si="176"/>
        <v>-20000</v>
      </c>
      <c r="O481" s="19">
        <f t="shared" si="176"/>
        <v>0</v>
      </c>
      <c r="P481" s="19">
        <f t="shared" si="176"/>
        <v>30000</v>
      </c>
      <c r="Q481" s="19">
        <f t="shared" si="176"/>
        <v>0</v>
      </c>
      <c r="R481" s="20">
        <f>Q481/$P481</f>
        <v>0</v>
      </c>
      <c r="S481" s="19">
        <f>SUM(S485:S490)</f>
        <v>4610.2</v>
      </c>
      <c r="T481" s="20">
        <f>S481/$P481</f>
        <v>0.15367333333333333</v>
      </c>
      <c r="U481" s="19">
        <f>SUM(U485:U490)</f>
        <v>15022</v>
      </c>
      <c r="V481" s="20">
        <f>U481/$P481</f>
        <v>0.50073333333333336</v>
      </c>
      <c r="W481" s="19">
        <f>SUM(W485:W490)</f>
        <v>18466</v>
      </c>
      <c r="X481" s="20">
        <f>W481/$P481</f>
        <v>0.61553333333333338</v>
      </c>
      <c r="Y481" s="19">
        <f>SUM(Y485:Y490)</f>
        <v>20000</v>
      </c>
      <c r="Z481" s="19">
        <f>SUM(Z485:Z490)</f>
        <v>20000</v>
      </c>
    </row>
    <row r="482" spans="1:26" x14ac:dyDescent="0.25">
      <c r="A482" s="10">
        <v>8</v>
      </c>
      <c r="B482" s="10">
        <v>3</v>
      </c>
      <c r="D482" s="24"/>
      <c r="E482" s="25"/>
      <c r="F482" s="21" t="s">
        <v>31</v>
      </c>
      <c r="G482" s="22">
        <f t="shared" ref="G482:Q482" si="177">SUM(G481:G481)</f>
        <v>17795.97</v>
      </c>
      <c r="H482" s="22">
        <f t="shared" si="177"/>
        <v>2285.56</v>
      </c>
      <c r="I482" s="22">
        <f t="shared" si="177"/>
        <v>25000</v>
      </c>
      <c r="J482" s="22">
        <f t="shared" si="177"/>
        <v>360.81</v>
      </c>
      <c r="K482" s="22">
        <f t="shared" si="177"/>
        <v>50000</v>
      </c>
      <c r="L482" s="22">
        <f t="shared" si="177"/>
        <v>0</v>
      </c>
      <c r="M482" s="22">
        <f t="shared" si="177"/>
        <v>0</v>
      </c>
      <c r="N482" s="22">
        <f t="shared" si="177"/>
        <v>-20000</v>
      </c>
      <c r="O482" s="22">
        <f t="shared" si="177"/>
        <v>0</v>
      </c>
      <c r="P482" s="22">
        <f t="shared" si="177"/>
        <v>30000</v>
      </c>
      <c r="Q482" s="22">
        <f t="shared" si="177"/>
        <v>0</v>
      </c>
      <c r="R482" s="23">
        <f>Q482/$P482</f>
        <v>0</v>
      </c>
      <c r="S482" s="22">
        <f>SUM(S481:S481)</f>
        <v>4610.2</v>
      </c>
      <c r="T482" s="23">
        <f>S482/$P482</f>
        <v>0.15367333333333333</v>
      </c>
      <c r="U482" s="22">
        <f>SUM(U481:U481)</f>
        <v>15022</v>
      </c>
      <c r="V482" s="23">
        <f>U482/$P482</f>
        <v>0.50073333333333336</v>
      </c>
      <c r="W482" s="22">
        <f>SUM(W481:W481)</f>
        <v>18466</v>
      </c>
      <c r="X482" s="23">
        <f>W482/$P482</f>
        <v>0.61553333333333338</v>
      </c>
      <c r="Y482" s="22">
        <f>SUM(Y481:Y481)</f>
        <v>20000</v>
      </c>
      <c r="Z482" s="22">
        <f>SUM(Z481:Z481)</f>
        <v>20000</v>
      </c>
    </row>
    <row r="484" spans="1:26" x14ac:dyDescent="0.25">
      <c r="D484" s="10" t="s">
        <v>57</v>
      </c>
    </row>
    <row r="485" spans="1:26" x14ac:dyDescent="0.25">
      <c r="D485" s="8" t="s">
        <v>260</v>
      </c>
      <c r="E485" s="73" t="s">
        <v>261</v>
      </c>
      <c r="F485" s="74"/>
      <c r="G485" s="75">
        <v>7727.45</v>
      </c>
      <c r="H485" s="75">
        <v>2285.56</v>
      </c>
      <c r="I485" s="75"/>
      <c r="J485" s="75"/>
      <c r="K485" s="75"/>
      <c r="L485" s="75"/>
      <c r="M485" s="75"/>
      <c r="N485" s="75"/>
      <c r="O485" s="75"/>
      <c r="P485" s="75">
        <f t="shared" ref="P485:P490" si="178">K485+SUM(L485:O485)</f>
        <v>0</v>
      </c>
      <c r="Q485" s="75"/>
      <c r="R485" s="76" t="e">
        <f t="shared" ref="R485:R490" si="179">Q485/$P485</f>
        <v>#DIV/0!</v>
      </c>
      <c r="S485" s="75"/>
      <c r="T485" s="76" t="e">
        <f t="shared" ref="T485:T490" si="180">S485/$P485</f>
        <v>#DIV/0!</v>
      </c>
      <c r="U485" s="75"/>
      <c r="V485" s="76" t="e">
        <f t="shared" ref="V485:V490" si="181">U485/$P485</f>
        <v>#DIV/0!</v>
      </c>
      <c r="W485" s="75"/>
      <c r="X485" s="77" t="e">
        <f t="shared" ref="X485:X490" si="182">W485/$P485</f>
        <v>#DIV/0!</v>
      </c>
      <c r="Y485" s="75"/>
      <c r="Z485" s="78"/>
    </row>
    <row r="486" spans="1:26" x14ac:dyDescent="0.25">
      <c r="D486" s="8"/>
      <c r="E486" s="73" t="s">
        <v>262</v>
      </c>
      <c r="F486" s="74"/>
      <c r="G486" s="75">
        <v>1081.1600000000001</v>
      </c>
      <c r="H486" s="75"/>
      <c r="I486" s="75"/>
      <c r="J486" s="75">
        <v>32</v>
      </c>
      <c r="K486" s="75"/>
      <c r="L486" s="75"/>
      <c r="M486" s="75"/>
      <c r="N486" s="75"/>
      <c r="O486" s="75"/>
      <c r="P486" s="75">
        <f t="shared" si="178"/>
        <v>0</v>
      </c>
      <c r="Q486" s="75"/>
      <c r="R486" s="76" t="e">
        <f t="shared" si="179"/>
        <v>#DIV/0!</v>
      </c>
      <c r="S486" s="75"/>
      <c r="T486" s="76" t="e">
        <f t="shared" si="180"/>
        <v>#DIV/0!</v>
      </c>
      <c r="U486" s="75"/>
      <c r="V486" s="76" t="e">
        <f t="shared" si="181"/>
        <v>#DIV/0!</v>
      </c>
      <c r="W486" s="75"/>
      <c r="X486" s="77" t="e">
        <f t="shared" si="182"/>
        <v>#DIV/0!</v>
      </c>
      <c r="Y486" s="75"/>
      <c r="Z486" s="78"/>
    </row>
    <row r="487" spans="1:26" x14ac:dyDescent="0.25">
      <c r="D487" s="8"/>
      <c r="E487" s="73" t="s">
        <v>263</v>
      </c>
      <c r="F487" s="74"/>
      <c r="G487" s="75">
        <v>8987.36</v>
      </c>
      <c r="H487" s="75"/>
      <c r="I487" s="75"/>
      <c r="J487" s="75">
        <v>328.81</v>
      </c>
      <c r="K487" s="75"/>
      <c r="L487" s="75"/>
      <c r="M487" s="75"/>
      <c r="N487" s="75"/>
      <c r="O487" s="75"/>
      <c r="P487" s="75">
        <f t="shared" si="178"/>
        <v>0</v>
      </c>
      <c r="Q487" s="75"/>
      <c r="R487" s="76" t="e">
        <f t="shared" si="179"/>
        <v>#DIV/0!</v>
      </c>
      <c r="S487" s="75"/>
      <c r="T487" s="76" t="e">
        <f t="shared" si="180"/>
        <v>#DIV/0!</v>
      </c>
      <c r="U487" s="75"/>
      <c r="V487" s="76" t="e">
        <f t="shared" si="181"/>
        <v>#DIV/0!</v>
      </c>
      <c r="W487" s="75"/>
      <c r="X487" s="77" t="e">
        <f t="shared" si="182"/>
        <v>#DIV/0!</v>
      </c>
      <c r="Y487" s="75"/>
      <c r="Z487" s="78"/>
    </row>
    <row r="488" spans="1:26" x14ac:dyDescent="0.25">
      <c r="D488" s="8"/>
      <c r="E488" s="73" t="s">
        <v>264</v>
      </c>
      <c r="F488" s="74"/>
      <c r="G488" s="75"/>
      <c r="H488" s="75"/>
      <c r="I488" s="75">
        <v>5000</v>
      </c>
      <c r="J488" s="75"/>
      <c r="K488" s="75"/>
      <c r="L488" s="75"/>
      <c r="M488" s="75"/>
      <c r="N488" s="75"/>
      <c r="O488" s="75"/>
      <c r="P488" s="75">
        <f t="shared" si="178"/>
        <v>0</v>
      </c>
      <c r="Q488" s="75"/>
      <c r="R488" s="76" t="e">
        <f t="shared" si="179"/>
        <v>#DIV/0!</v>
      </c>
      <c r="S488" s="75"/>
      <c r="T488" s="76" t="e">
        <f t="shared" si="180"/>
        <v>#DIV/0!</v>
      </c>
      <c r="U488" s="75"/>
      <c r="V488" s="76" t="e">
        <f t="shared" si="181"/>
        <v>#DIV/0!</v>
      </c>
      <c r="W488" s="75"/>
      <c r="X488" s="77" t="e">
        <f t="shared" si="182"/>
        <v>#DIV/0!</v>
      </c>
      <c r="Y488" s="75"/>
      <c r="Z488" s="78"/>
    </row>
    <row r="489" spans="1:26" x14ac:dyDescent="0.25">
      <c r="D489" s="8"/>
      <c r="E489" s="73" t="s">
        <v>265</v>
      </c>
      <c r="F489" s="74"/>
      <c r="G489" s="75"/>
      <c r="H489" s="75"/>
      <c r="I489" s="75">
        <v>20000</v>
      </c>
      <c r="J489" s="75"/>
      <c r="K489" s="75">
        <v>20000</v>
      </c>
      <c r="L489" s="75"/>
      <c r="M489" s="75"/>
      <c r="N489" s="75">
        <v>-20000</v>
      </c>
      <c r="O489" s="75"/>
      <c r="P489" s="75">
        <f t="shared" si="178"/>
        <v>0</v>
      </c>
      <c r="Q489" s="75">
        <v>0</v>
      </c>
      <c r="R489" s="76" t="e">
        <f t="shared" si="179"/>
        <v>#DIV/0!</v>
      </c>
      <c r="S489" s="75"/>
      <c r="T489" s="76" t="e">
        <f t="shared" si="180"/>
        <v>#DIV/0!</v>
      </c>
      <c r="U489" s="75"/>
      <c r="V489" s="76" t="e">
        <f t="shared" si="181"/>
        <v>#DIV/0!</v>
      </c>
      <c r="W489" s="75"/>
      <c r="X489" s="77" t="e">
        <f t="shared" si="182"/>
        <v>#DIV/0!</v>
      </c>
      <c r="Y489" s="75">
        <v>20000</v>
      </c>
      <c r="Z489" s="78">
        <v>20000</v>
      </c>
    </row>
    <row r="490" spans="1:26" x14ac:dyDescent="0.25">
      <c r="D490" s="8"/>
      <c r="E490" s="73" t="s">
        <v>266</v>
      </c>
      <c r="F490" s="74"/>
      <c r="G490" s="75"/>
      <c r="H490" s="75"/>
      <c r="I490" s="75"/>
      <c r="J490" s="75"/>
      <c r="K490" s="75">
        <v>30000</v>
      </c>
      <c r="L490" s="75"/>
      <c r="M490" s="75"/>
      <c r="N490" s="75"/>
      <c r="O490" s="75"/>
      <c r="P490" s="75">
        <f t="shared" si="178"/>
        <v>30000</v>
      </c>
      <c r="Q490" s="75">
        <v>0</v>
      </c>
      <c r="R490" s="76">
        <f t="shared" si="179"/>
        <v>0</v>
      </c>
      <c r="S490" s="75">
        <v>4610.2</v>
      </c>
      <c r="T490" s="76">
        <f t="shared" si="180"/>
        <v>0.15367333333333333</v>
      </c>
      <c r="U490" s="75">
        <v>15022</v>
      </c>
      <c r="V490" s="76">
        <f t="shared" si="181"/>
        <v>0.50073333333333336</v>
      </c>
      <c r="W490" s="75">
        <v>18466</v>
      </c>
      <c r="X490" s="77">
        <f t="shared" si="182"/>
        <v>0.61553333333333338</v>
      </c>
      <c r="Y490" s="75"/>
      <c r="Z490" s="78"/>
    </row>
    <row r="492" spans="1:26" x14ac:dyDescent="0.25">
      <c r="D492" s="35" t="s">
        <v>267</v>
      </c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6"/>
      <c r="S492" s="35"/>
      <c r="T492" s="36"/>
      <c r="U492" s="35"/>
      <c r="V492" s="36"/>
      <c r="W492" s="35"/>
      <c r="X492" s="36"/>
      <c r="Y492" s="35"/>
      <c r="Z492" s="35"/>
    </row>
    <row r="493" spans="1:26" x14ac:dyDescent="0.25">
      <c r="D493" s="104"/>
      <c r="E493" s="16"/>
      <c r="F493" s="16"/>
      <c r="G493" s="16" t="s">
        <v>1</v>
      </c>
      <c r="H493" s="16" t="s">
        <v>2</v>
      </c>
      <c r="I493" s="16" t="s">
        <v>3</v>
      </c>
      <c r="J493" s="16" t="s">
        <v>4</v>
      </c>
      <c r="K493" s="16" t="s">
        <v>5</v>
      </c>
      <c r="L493" s="16" t="s">
        <v>6</v>
      </c>
      <c r="M493" s="16" t="s">
        <v>7</v>
      </c>
      <c r="N493" s="16" t="s">
        <v>8</v>
      </c>
      <c r="O493" s="16" t="s">
        <v>9</v>
      </c>
      <c r="P493" s="16" t="s">
        <v>10</v>
      </c>
      <c r="Q493" s="16" t="s">
        <v>11</v>
      </c>
      <c r="R493" s="17" t="s">
        <v>12</v>
      </c>
      <c r="S493" s="16" t="s">
        <v>13</v>
      </c>
      <c r="T493" s="17" t="s">
        <v>14</v>
      </c>
      <c r="U493" s="16" t="s">
        <v>15</v>
      </c>
      <c r="V493" s="17" t="s">
        <v>16</v>
      </c>
      <c r="W493" s="16" t="s">
        <v>17</v>
      </c>
      <c r="X493" s="17" t="s">
        <v>18</v>
      </c>
      <c r="Y493" s="16" t="s">
        <v>19</v>
      </c>
      <c r="Z493" s="16" t="s">
        <v>20</v>
      </c>
    </row>
    <row r="494" spans="1:26" x14ac:dyDescent="0.25">
      <c r="A494" s="10">
        <v>8</v>
      </c>
      <c r="B494" s="10">
        <v>4</v>
      </c>
      <c r="D494" s="105" t="s">
        <v>21</v>
      </c>
      <c r="E494" s="18">
        <v>41</v>
      </c>
      <c r="F494" s="18" t="s">
        <v>23</v>
      </c>
      <c r="G494" s="19">
        <f t="shared" ref="G494:Q494" si="183">SUM(G498:G498)</f>
        <v>0</v>
      </c>
      <c r="H494" s="19">
        <f t="shared" si="183"/>
        <v>0</v>
      </c>
      <c r="I494" s="19">
        <f t="shared" si="183"/>
        <v>20000</v>
      </c>
      <c r="J494" s="19">
        <f t="shared" si="183"/>
        <v>1320</v>
      </c>
      <c r="K494" s="19">
        <f t="shared" si="183"/>
        <v>54000</v>
      </c>
      <c r="L494" s="19">
        <f t="shared" si="183"/>
        <v>0</v>
      </c>
      <c r="M494" s="19">
        <f t="shared" si="183"/>
        <v>0</v>
      </c>
      <c r="N494" s="19">
        <f t="shared" si="183"/>
        <v>0</v>
      </c>
      <c r="O494" s="19">
        <f t="shared" si="183"/>
        <v>0</v>
      </c>
      <c r="P494" s="19">
        <f t="shared" si="183"/>
        <v>54000</v>
      </c>
      <c r="Q494" s="19">
        <f t="shared" si="183"/>
        <v>550</v>
      </c>
      <c r="R494" s="20">
        <f>Q494/$P494</f>
        <v>1.0185185185185186E-2</v>
      </c>
      <c r="S494" s="19">
        <f>SUM(S498:S498)</f>
        <v>5656</v>
      </c>
      <c r="T494" s="20">
        <f>S494/$P494</f>
        <v>0.10474074074074075</v>
      </c>
      <c r="U494" s="19">
        <f>SUM(U498:U498)</f>
        <v>7528</v>
      </c>
      <c r="V494" s="20">
        <f>U494/$P494</f>
        <v>0.1394074074074074</v>
      </c>
      <c r="W494" s="19">
        <f>SUM(W498:W498)</f>
        <v>8528</v>
      </c>
      <c r="X494" s="20">
        <f>W494/$P494</f>
        <v>0.15792592592592591</v>
      </c>
      <c r="Y494" s="19">
        <f>SUM(Y498:Y498)</f>
        <v>0</v>
      </c>
      <c r="Z494" s="19">
        <f>SUM(Z498:Z498)</f>
        <v>0</v>
      </c>
    </row>
    <row r="495" spans="1:26" x14ac:dyDescent="0.25">
      <c r="A495" s="10">
        <v>8</v>
      </c>
      <c r="B495" s="10">
        <v>4</v>
      </c>
      <c r="D495" s="24"/>
      <c r="E495" s="25"/>
      <c r="F495" s="21" t="s">
        <v>31</v>
      </c>
      <c r="G495" s="22">
        <f t="shared" ref="G495:Q495" si="184">SUM(G494:G494)</f>
        <v>0</v>
      </c>
      <c r="H495" s="22">
        <f t="shared" si="184"/>
        <v>0</v>
      </c>
      <c r="I495" s="22">
        <f t="shared" si="184"/>
        <v>20000</v>
      </c>
      <c r="J495" s="22">
        <f t="shared" si="184"/>
        <v>1320</v>
      </c>
      <c r="K495" s="22">
        <f t="shared" si="184"/>
        <v>54000</v>
      </c>
      <c r="L495" s="22">
        <f t="shared" si="184"/>
        <v>0</v>
      </c>
      <c r="M495" s="22">
        <f t="shared" si="184"/>
        <v>0</v>
      </c>
      <c r="N495" s="22">
        <f t="shared" si="184"/>
        <v>0</v>
      </c>
      <c r="O495" s="22">
        <f t="shared" si="184"/>
        <v>0</v>
      </c>
      <c r="P495" s="22">
        <f t="shared" si="184"/>
        <v>54000</v>
      </c>
      <c r="Q495" s="22">
        <f t="shared" si="184"/>
        <v>550</v>
      </c>
      <c r="R495" s="23">
        <f>Q495/$P495</f>
        <v>1.0185185185185186E-2</v>
      </c>
      <c r="S495" s="22">
        <f>SUM(S494:S494)</f>
        <v>5656</v>
      </c>
      <c r="T495" s="23">
        <f>S495/$P495</f>
        <v>0.10474074074074075</v>
      </c>
      <c r="U495" s="22">
        <f>SUM(U494:U494)</f>
        <v>7528</v>
      </c>
      <c r="V495" s="23">
        <f>U495/$P495</f>
        <v>0.1394074074074074</v>
      </c>
      <c r="W495" s="22">
        <f>SUM(W494:W494)</f>
        <v>8528</v>
      </c>
      <c r="X495" s="23">
        <f>W495/$P495</f>
        <v>0.15792592592592591</v>
      </c>
      <c r="Y495" s="22">
        <f>SUM(Y494:Y494)</f>
        <v>0</v>
      </c>
      <c r="Z495" s="22">
        <f>SUM(Z494:Z494)</f>
        <v>0</v>
      </c>
    </row>
    <row r="497" spans="1:26" x14ac:dyDescent="0.25">
      <c r="D497" s="10" t="s">
        <v>57</v>
      </c>
    </row>
    <row r="498" spans="1:26" x14ac:dyDescent="0.25">
      <c r="D498" s="18" t="s">
        <v>268</v>
      </c>
      <c r="E498" s="73" t="s">
        <v>269</v>
      </c>
      <c r="F498" s="74"/>
      <c r="G498" s="75"/>
      <c r="H498" s="75"/>
      <c r="I498" s="75">
        <v>20000</v>
      </c>
      <c r="J498" s="75">
        <v>1320</v>
      </c>
      <c r="K498" s="75">
        <v>54000</v>
      </c>
      <c r="L498" s="75"/>
      <c r="M498" s="75"/>
      <c r="N498" s="75"/>
      <c r="O498" s="75"/>
      <c r="P498" s="75">
        <f>K498+SUM(L498:O498)</f>
        <v>54000</v>
      </c>
      <c r="Q498" s="75">
        <v>550</v>
      </c>
      <c r="R498" s="76">
        <f>Q498/$P498</f>
        <v>1.0185185185185186E-2</v>
      </c>
      <c r="S498" s="75">
        <v>5656</v>
      </c>
      <c r="T498" s="76">
        <f>S498/$P498</f>
        <v>0.10474074074074075</v>
      </c>
      <c r="U498" s="75">
        <v>7528</v>
      </c>
      <c r="V498" s="76">
        <f>U498/$P498</f>
        <v>0.1394074074074074</v>
      </c>
      <c r="W498" s="75">
        <v>8528</v>
      </c>
      <c r="X498" s="77">
        <f>W498/$P498</f>
        <v>0.15792592592592591</v>
      </c>
      <c r="Y498" s="75"/>
      <c r="Z498" s="78"/>
    </row>
    <row r="500" spans="1:26" x14ac:dyDescent="0.25">
      <c r="D500" s="35" t="s">
        <v>270</v>
      </c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6"/>
      <c r="S500" s="35"/>
      <c r="T500" s="36"/>
      <c r="U500" s="35"/>
      <c r="V500" s="36"/>
      <c r="W500" s="35"/>
      <c r="X500" s="36"/>
      <c r="Y500" s="35"/>
      <c r="Z500" s="35"/>
    </row>
    <row r="501" spans="1:26" x14ac:dyDescent="0.25">
      <c r="D501" s="104"/>
      <c r="E501" s="16"/>
      <c r="F501" s="16"/>
      <c r="G501" s="16" t="s">
        <v>1</v>
      </c>
      <c r="H501" s="16" t="s">
        <v>2</v>
      </c>
      <c r="I501" s="16" t="s">
        <v>3</v>
      </c>
      <c r="J501" s="16" t="s">
        <v>4</v>
      </c>
      <c r="K501" s="16" t="s">
        <v>5</v>
      </c>
      <c r="L501" s="16" t="s">
        <v>6</v>
      </c>
      <c r="M501" s="16" t="s">
        <v>7</v>
      </c>
      <c r="N501" s="16" t="s">
        <v>8</v>
      </c>
      <c r="O501" s="16" t="s">
        <v>9</v>
      </c>
      <c r="P501" s="16" t="s">
        <v>10</v>
      </c>
      <c r="Q501" s="16" t="s">
        <v>11</v>
      </c>
      <c r="R501" s="17" t="s">
        <v>12</v>
      </c>
      <c r="S501" s="16" t="s">
        <v>13</v>
      </c>
      <c r="T501" s="17" t="s">
        <v>14</v>
      </c>
      <c r="U501" s="16" t="s">
        <v>15</v>
      </c>
      <c r="V501" s="17" t="s">
        <v>16</v>
      </c>
      <c r="W501" s="16" t="s">
        <v>17</v>
      </c>
      <c r="X501" s="17" t="s">
        <v>18</v>
      </c>
      <c r="Y501" s="16" t="s">
        <v>19</v>
      </c>
      <c r="Z501" s="16" t="s">
        <v>20</v>
      </c>
    </row>
    <row r="502" spans="1:26" x14ac:dyDescent="0.25">
      <c r="A502" s="10">
        <v>8</v>
      </c>
      <c r="B502" s="10">
        <v>5</v>
      </c>
      <c r="D502" s="8" t="s">
        <v>21</v>
      </c>
      <c r="E502" s="18">
        <v>111</v>
      </c>
      <c r="F502" s="18" t="s">
        <v>99</v>
      </c>
      <c r="G502" s="19">
        <v>0</v>
      </c>
      <c r="H502" s="19">
        <v>0</v>
      </c>
      <c r="I502" s="19">
        <f>I516</f>
        <v>12426</v>
      </c>
      <c r="J502" s="19">
        <f>J516</f>
        <v>10000</v>
      </c>
      <c r="K502" s="19">
        <v>0</v>
      </c>
      <c r="L502" s="19"/>
      <c r="M502" s="19"/>
      <c r="N502" s="19"/>
      <c r="O502" s="19"/>
      <c r="P502" s="19">
        <f>SUM(P506:P506)</f>
        <v>0</v>
      </c>
      <c r="Q502" s="19">
        <v>0</v>
      </c>
      <c r="R502" s="20" t="e">
        <f>Q502/$P502</f>
        <v>#DIV/0!</v>
      </c>
      <c r="S502" s="19">
        <v>0</v>
      </c>
      <c r="T502" s="20" t="e">
        <f>S502/$P502</f>
        <v>#DIV/0!</v>
      </c>
      <c r="U502" s="19">
        <v>0</v>
      </c>
      <c r="V502" s="20" t="e">
        <f>U502/$P502</f>
        <v>#DIV/0!</v>
      </c>
      <c r="W502" s="19">
        <v>0</v>
      </c>
      <c r="X502" s="20" t="e">
        <f>W502/$P502</f>
        <v>#DIV/0!</v>
      </c>
      <c r="Y502" s="19">
        <f>Y513</f>
        <v>0</v>
      </c>
      <c r="Z502" s="19">
        <v>0</v>
      </c>
    </row>
    <row r="503" spans="1:26" x14ac:dyDescent="0.25">
      <c r="A503" s="10">
        <v>8</v>
      </c>
      <c r="B503" s="10">
        <v>5</v>
      </c>
      <c r="D503" s="8"/>
      <c r="E503" s="18">
        <v>41</v>
      </c>
      <c r="F503" s="18" t="s">
        <v>23</v>
      </c>
      <c r="G503" s="19">
        <f>G507+G515</f>
        <v>3460.8</v>
      </c>
      <c r="H503" s="19">
        <f>H507+H509</f>
        <v>6091.74</v>
      </c>
      <c r="I503" s="19">
        <f>I507+I510</f>
        <v>59779</v>
      </c>
      <c r="J503" s="19">
        <f>J507+J510+J517</f>
        <v>7788.57</v>
      </c>
      <c r="K503" s="19">
        <f t="shared" ref="K503:Q503" si="185">SUM(K507:K517)</f>
        <v>119500</v>
      </c>
      <c r="L503" s="19">
        <f t="shared" si="185"/>
        <v>0</v>
      </c>
      <c r="M503" s="19">
        <f t="shared" si="185"/>
        <v>10000</v>
      </c>
      <c r="N503" s="19">
        <f t="shared" si="185"/>
        <v>5000</v>
      </c>
      <c r="O503" s="19">
        <f t="shared" si="185"/>
        <v>0</v>
      </c>
      <c r="P503" s="19">
        <f t="shared" si="185"/>
        <v>134500</v>
      </c>
      <c r="Q503" s="19">
        <f t="shared" si="185"/>
        <v>0</v>
      </c>
      <c r="R503" s="20">
        <f>Q503/$P503</f>
        <v>0</v>
      </c>
      <c r="S503" s="19">
        <f>SUM(S507:S517)</f>
        <v>14366.52</v>
      </c>
      <c r="T503" s="20">
        <f>S503/$P503</f>
        <v>0.10681427509293681</v>
      </c>
      <c r="U503" s="19">
        <f>SUM(U507:U517)</f>
        <v>26830.91</v>
      </c>
      <c r="V503" s="20">
        <f>U503/$P503</f>
        <v>0.19948631970260222</v>
      </c>
      <c r="W503" s="19">
        <f>SUM(W507:W517)</f>
        <v>107956.32</v>
      </c>
      <c r="X503" s="20">
        <f>W503/$P503</f>
        <v>0.80264921933085509</v>
      </c>
      <c r="Y503" s="19">
        <f>SUM(Y507:Y517)</f>
        <v>206042</v>
      </c>
      <c r="Z503" s="19">
        <f>SUM(Z507:Z517)</f>
        <v>200121</v>
      </c>
    </row>
    <row r="504" spans="1:26" x14ac:dyDescent="0.25">
      <c r="D504" s="24"/>
      <c r="E504" s="25"/>
      <c r="F504" s="21" t="s">
        <v>31</v>
      </c>
      <c r="G504" s="22">
        <f t="shared" ref="G504:Q504" si="186">SUM(G502:G503)</f>
        <v>3460.8</v>
      </c>
      <c r="H504" s="22">
        <f t="shared" si="186"/>
        <v>6091.74</v>
      </c>
      <c r="I504" s="22">
        <f t="shared" si="186"/>
        <v>72205</v>
      </c>
      <c r="J504" s="22">
        <f t="shared" si="186"/>
        <v>17788.57</v>
      </c>
      <c r="K504" s="22">
        <f t="shared" si="186"/>
        <v>119500</v>
      </c>
      <c r="L504" s="22">
        <f t="shared" si="186"/>
        <v>0</v>
      </c>
      <c r="M504" s="22">
        <f t="shared" si="186"/>
        <v>10000</v>
      </c>
      <c r="N504" s="22">
        <f t="shared" si="186"/>
        <v>5000</v>
      </c>
      <c r="O504" s="22">
        <f t="shared" si="186"/>
        <v>0</v>
      </c>
      <c r="P504" s="22">
        <f t="shared" si="186"/>
        <v>134500</v>
      </c>
      <c r="Q504" s="22">
        <f t="shared" si="186"/>
        <v>0</v>
      </c>
      <c r="R504" s="23">
        <f>Q504/$P504</f>
        <v>0</v>
      </c>
      <c r="S504" s="22">
        <f>SUM(S502:S503)</f>
        <v>14366.52</v>
      </c>
      <c r="T504" s="23">
        <f>S504/$P504</f>
        <v>0.10681427509293681</v>
      </c>
      <c r="U504" s="22">
        <f>SUM(U502:U503)</f>
        <v>26830.91</v>
      </c>
      <c r="V504" s="23">
        <f>U504/$P504</f>
        <v>0.19948631970260222</v>
      </c>
      <c r="W504" s="22">
        <f>SUM(W502:W503)</f>
        <v>107956.32</v>
      </c>
      <c r="X504" s="23">
        <f>W504/$P504</f>
        <v>0.80264921933085509</v>
      </c>
      <c r="Y504" s="22">
        <f>SUM(Y502:Y503)</f>
        <v>206042</v>
      </c>
      <c r="Z504" s="22">
        <f>SUM(Z502:Z503)</f>
        <v>200121</v>
      </c>
    </row>
    <row r="506" spans="1:26" x14ac:dyDescent="0.25">
      <c r="D506" s="10" t="s">
        <v>57</v>
      </c>
    </row>
    <row r="507" spans="1:26" x14ac:dyDescent="0.25">
      <c r="D507" s="8" t="s">
        <v>271</v>
      </c>
      <c r="E507" s="73" t="s">
        <v>272</v>
      </c>
      <c r="F507" s="74"/>
      <c r="G507" s="75">
        <v>380.8</v>
      </c>
      <c r="H507" s="75">
        <v>2277.84</v>
      </c>
      <c r="I507" s="75">
        <v>30000</v>
      </c>
      <c r="J507" s="75">
        <v>0</v>
      </c>
      <c r="K507" s="75">
        <v>33000</v>
      </c>
      <c r="L507" s="75"/>
      <c r="M507" s="75"/>
      <c r="N507" s="75"/>
      <c r="O507" s="75"/>
      <c r="P507" s="75">
        <f t="shared" ref="P507:P517" si="187">K507+SUM(L507:O507)</f>
        <v>33000</v>
      </c>
      <c r="Q507" s="75">
        <v>0</v>
      </c>
      <c r="R507" s="76">
        <f t="shared" ref="R507:R517" si="188">Q507/$P507</f>
        <v>0</v>
      </c>
      <c r="S507" s="75"/>
      <c r="T507" s="76">
        <f t="shared" ref="T507:T517" si="189">S507/$P507</f>
        <v>0</v>
      </c>
      <c r="U507" s="75"/>
      <c r="V507" s="76">
        <f t="shared" ref="V507:V517" si="190">U507/$P507</f>
        <v>0</v>
      </c>
      <c r="W507" s="75">
        <v>28371.62</v>
      </c>
      <c r="X507" s="77">
        <f t="shared" ref="X507:X517" si="191">W507/$P507</f>
        <v>0.85974606060606062</v>
      </c>
      <c r="Y507" s="75">
        <v>50000</v>
      </c>
      <c r="Z507" s="78">
        <v>50000</v>
      </c>
    </row>
    <row r="508" spans="1:26" x14ac:dyDescent="0.25">
      <c r="D508" s="8"/>
      <c r="E508" s="73" t="s">
        <v>273</v>
      </c>
      <c r="F508" s="74"/>
      <c r="G508" s="75"/>
      <c r="H508" s="75"/>
      <c r="I508" s="75"/>
      <c r="J508" s="75"/>
      <c r="K508" s="75"/>
      <c r="L508" s="75"/>
      <c r="M508" s="75"/>
      <c r="N508" s="75">
        <v>5000</v>
      </c>
      <c r="O508" s="75"/>
      <c r="P508" s="75">
        <f t="shared" si="187"/>
        <v>5000</v>
      </c>
      <c r="Q508" s="75"/>
      <c r="R508" s="76">
        <f t="shared" si="188"/>
        <v>0</v>
      </c>
      <c r="S508" s="75"/>
      <c r="T508" s="76">
        <f t="shared" si="189"/>
        <v>0</v>
      </c>
      <c r="U508" s="75"/>
      <c r="V508" s="76">
        <f t="shared" si="190"/>
        <v>0</v>
      </c>
      <c r="W508" s="75"/>
      <c r="X508" s="77">
        <f t="shared" si="191"/>
        <v>0</v>
      </c>
      <c r="Y508" s="75"/>
      <c r="Z508" s="78"/>
    </row>
    <row r="509" spans="1:26" x14ac:dyDescent="0.25">
      <c r="D509" s="8" t="s">
        <v>274</v>
      </c>
      <c r="E509" s="73" t="s">
        <v>275</v>
      </c>
      <c r="F509" s="74"/>
      <c r="G509" s="75"/>
      <c r="H509" s="75">
        <v>3813.9</v>
      </c>
      <c r="I509" s="75"/>
      <c r="J509" s="75"/>
      <c r="K509" s="75">
        <v>5000</v>
      </c>
      <c r="L509" s="75"/>
      <c r="M509" s="75"/>
      <c r="N509" s="75"/>
      <c r="O509" s="75"/>
      <c r="P509" s="75">
        <f t="shared" si="187"/>
        <v>5000</v>
      </c>
      <c r="Q509" s="75">
        <v>0</v>
      </c>
      <c r="R509" s="76">
        <f t="shared" si="188"/>
        <v>0</v>
      </c>
      <c r="S509" s="75"/>
      <c r="T509" s="76">
        <f t="shared" si="189"/>
        <v>0</v>
      </c>
      <c r="U509" s="75"/>
      <c r="V509" s="76">
        <f t="shared" si="190"/>
        <v>0</v>
      </c>
      <c r="W509" s="75"/>
      <c r="X509" s="77">
        <f t="shared" si="191"/>
        <v>0</v>
      </c>
      <c r="Y509" s="75"/>
      <c r="Z509" s="78"/>
    </row>
    <row r="510" spans="1:26" x14ac:dyDescent="0.25">
      <c r="D510" s="8"/>
      <c r="E510" s="73" t="s">
        <v>276</v>
      </c>
      <c r="F510" s="74"/>
      <c r="G510" s="75"/>
      <c r="H510" s="75"/>
      <c r="I510" s="75">
        <v>29779</v>
      </c>
      <c r="J510" s="75">
        <v>4854.7299999999996</v>
      </c>
      <c r="K510" s="75">
        <v>25000</v>
      </c>
      <c r="L510" s="75"/>
      <c r="M510" s="75">
        <v>10000</v>
      </c>
      <c r="N510" s="75"/>
      <c r="O510" s="75"/>
      <c r="P510" s="75">
        <f t="shared" si="187"/>
        <v>35000</v>
      </c>
      <c r="Q510" s="75">
        <v>0</v>
      </c>
      <c r="R510" s="76">
        <f t="shared" si="188"/>
        <v>0</v>
      </c>
      <c r="S510" s="75">
        <v>14366.52</v>
      </c>
      <c r="T510" s="76">
        <f t="shared" si="189"/>
        <v>0.410472</v>
      </c>
      <c r="U510" s="75">
        <v>26830.91</v>
      </c>
      <c r="V510" s="76">
        <f t="shared" si="190"/>
        <v>0.76659742857142854</v>
      </c>
      <c r="W510" s="75">
        <v>34005.1</v>
      </c>
      <c r="X510" s="77">
        <f t="shared" si="191"/>
        <v>0.97157428571428572</v>
      </c>
      <c r="Y510" s="75">
        <v>50000</v>
      </c>
      <c r="Z510" s="78">
        <v>50000</v>
      </c>
    </row>
    <row r="511" spans="1:26" x14ac:dyDescent="0.25">
      <c r="D511" s="8"/>
      <c r="E511" s="73" t="s">
        <v>277</v>
      </c>
      <c r="F511" s="74"/>
      <c r="G511" s="75"/>
      <c r="H511" s="75"/>
      <c r="I511" s="75"/>
      <c r="J511" s="75"/>
      <c r="K511" s="75"/>
      <c r="L511" s="75"/>
      <c r="M511" s="75"/>
      <c r="N511" s="75"/>
      <c r="O511" s="75"/>
      <c r="P511" s="75">
        <f t="shared" si="187"/>
        <v>0</v>
      </c>
      <c r="Q511" s="75"/>
      <c r="R511" s="76" t="e">
        <f t="shared" si="188"/>
        <v>#DIV/0!</v>
      </c>
      <c r="S511" s="75"/>
      <c r="T511" s="76" t="e">
        <f t="shared" si="189"/>
        <v>#DIV/0!</v>
      </c>
      <c r="U511" s="75"/>
      <c r="V511" s="76" t="e">
        <f t="shared" si="190"/>
        <v>#DIV/0!</v>
      </c>
      <c r="W511" s="75"/>
      <c r="X511" s="77" t="e">
        <f t="shared" si="191"/>
        <v>#DIV/0!</v>
      </c>
      <c r="Y511" s="75"/>
      <c r="Z511" s="78"/>
    </row>
    <row r="512" spans="1:26" x14ac:dyDescent="0.25">
      <c r="D512" s="8"/>
      <c r="E512" s="73" t="s">
        <v>278</v>
      </c>
      <c r="F512" s="74"/>
      <c r="G512" s="75"/>
      <c r="H512" s="75"/>
      <c r="I512" s="75"/>
      <c r="J512" s="75"/>
      <c r="K512" s="75">
        <v>56500</v>
      </c>
      <c r="L512" s="75"/>
      <c r="M512" s="75"/>
      <c r="N512" s="75"/>
      <c r="O512" s="75"/>
      <c r="P512" s="75">
        <f t="shared" si="187"/>
        <v>56500</v>
      </c>
      <c r="Q512" s="75">
        <v>0</v>
      </c>
      <c r="R512" s="76">
        <f t="shared" si="188"/>
        <v>0</v>
      </c>
      <c r="S512" s="75"/>
      <c r="T512" s="76">
        <f t="shared" si="189"/>
        <v>0</v>
      </c>
      <c r="U512" s="75"/>
      <c r="V512" s="76">
        <f t="shared" si="190"/>
        <v>0</v>
      </c>
      <c r="W512" s="75">
        <v>45579.6</v>
      </c>
      <c r="X512" s="77">
        <f t="shared" si="191"/>
        <v>0.80671858407079644</v>
      </c>
      <c r="Y512" s="75"/>
      <c r="Z512" s="78"/>
    </row>
    <row r="513" spans="1:26" x14ac:dyDescent="0.25">
      <c r="D513" s="8"/>
      <c r="E513" s="73" t="s">
        <v>279</v>
      </c>
      <c r="F513" s="74"/>
      <c r="G513" s="75"/>
      <c r="H513" s="75"/>
      <c r="I513" s="75"/>
      <c r="J513" s="75"/>
      <c r="K513" s="75"/>
      <c r="L513" s="75"/>
      <c r="M513" s="75"/>
      <c r="N513" s="75"/>
      <c r="O513" s="75"/>
      <c r="P513" s="75">
        <f t="shared" si="187"/>
        <v>0</v>
      </c>
      <c r="Q513" s="75"/>
      <c r="R513" s="76" t="e">
        <f t="shared" si="188"/>
        <v>#DIV/0!</v>
      </c>
      <c r="S513" s="75"/>
      <c r="T513" s="76" t="e">
        <f t="shared" si="189"/>
        <v>#DIV/0!</v>
      </c>
      <c r="U513" s="75"/>
      <c r="V513" s="76" t="e">
        <f t="shared" si="190"/>
        <v>#DIV/0!</v>
      </c>
      <c r="W513" s="75"/>
      <c r="X513" s="77" t="e">
        <f t="shared" si="191"/>
        <v>#DIV/0!</v>
      </c>
      <c r="Y513" s="75"/>
      <c r="Z513" s="78"/>
    </row>
    <row r="514" spans="1:26" x14ac:dyDescent="0.25">
      <c r="D514" s="8"/>
      <c r="E514" s="73" t="s">
        <v>280</v>
      </c>
      <c r="F514" s="74"/>
      <c r="G514" s="75"/>
      <c r="H514" s="75"/>
      <c r="I514" s="75"/>
      <c r="J514" s="75"/>
      <c r="K514" s="75"/>
      <c r="L514" s="75"/>
      <c r="M514" s="75"/>
      <c r="N514" s="75"/>
      <c r="O514" s="75"/>
      <c r="P514" s="75">
        <f t="shared" si="187"/>
        <v>0</v>
      </c>
      <c r="Q514" s="75"/>
      <c r="R514" s="76" t="e">
        <f t="shared" si="188"/>
        <v>#DIV/0!</v>
      </c>
      <c r="S514" s="75"/>
      <c r="T514" s="76" t="e">
        <f t="shared" si="189"/>
        <v>#DIV/0!</v>
      </c>
      <c r="U514" s="75"/>
      <c r="V514" s="76" t="e">
        <f t="shared" si="190"/>
        <v>#DIV/0!</v>
      </c>
      <c r="W514" s="75"/>
      <c r="X514" s="77" t="e">
        <f t="shared" si="191"/>
        <v>#DIV/0!</v>
      </c>
      <c r="Y514" s="75">
        <v>106042</v>
      </c>
      <c r="Z514" s="78">
        <v>100121</v>
      </c>
    </row>
    <row r="515" spans="1:26" x14ac:dyDescent="0.25">
      <c r="D515" s="107" t="s">
        <v>281</v>
      </c>
      <c r="E515" s="73" t="s">
        <v>282</v>
      </c>
      <c r="F515" s="74"/>
      <c r="G515" s="75">
        <v>3080</v>
      </c>
      <c r="H515" s="75"/>
      <c r="I515" s="75"/>
      <c r="J515" s="75"/>
      <c r="K515" s="75"/>
      <c r="L515" s="75"/>
      <c r="M515" s="75"/>
      <c r="N515" s="75"/>
      <c r="O515" s="75"/>
      <c r="P515" s="75">
        <f t="shared" si="187"/>
        <v>0</v>
      </c>
      <c r="Q515" s="75"/>
      <c r="R515" s="76" t="e">
        <f t="shared" si="188"/>
        <v>#DIV/0!</v>
      </c>
      <c r="S515" s="75"/>
      <c r="T515" s="76" t="e">
        <f t="shared" si="189"/>
        <v>#DIV/0!</v>
      </c>
      <c r="U515" s="75"/>
      <c r="V515" s="76" t="e">
        <f t="shared" si="190"/>
        <v>#DIV/0!</v>
      </c>
      <c r="W515" s="75"/>
      <c r="X515" s="77" t="e">
        <f t="shared" si="191"/>
        <v>#DIV/0!</v>
      </c>
      <c r="Y515" s="75"/>
      <c r="Z515" s="78"/>
    </row>
    <row r="516" spans="1:26" x14ac:dyDescent="0.25">
      <c r="D516" s="8" t="s">
        <v>283</v>
      </c>
      <c r="E516" s="73" t="s">
        <v>284</v>
      </c>
      <c r="F516" s="74"/>
      <c r="G516" s="75"/>
      <c r="H516" s="75"/>
      <c r="I516" s="75">
        <v>12426</v>
      </c>
      <c r="J516" s="75">
        <v>10000</v>
      </c>
      <c r="K516" s="75"/>
      <c r="L516" s="75"/>
      <c r="M516" s="75"/>
      <c r="N516" s="75"/>
      <c r="O516" s="75"/>
      <c r="P516" s="75">
        <f t="shared" si="187"/>
        <v>0</v>
      </c>
      <c r="Q516" s="75"/>
      <c r="R516" s="76" t="e">
        <f t="shared" si="188"/>
        <v>#DIV/0!</v>
      </c>
      <c r="S516" s="75"/>
      <c r="T516" s="76" t="e">
        <f t="shared" si="189"/>
        <v>#DIV/0!</v>
      </c>
      <c r="U516" s="75"/>
      <c r="V516" s="76" t="e">
        <f t="shared" si="190"/>
        <v>#DIV/0!</v>
      </c>
      <c r="W516" s="75"/>
      <c r="X516" s="77" t="e">
        <f t="shared" si="191"/>
        <v>#DIV/0!</v>
      </c>
      <c r="Y516" s="75"/>
      <c r="Z516" s="78"/>
    </row>
    <row r="517" spans="1:26" x14ac:dyDescent="0.25">
      <c r="D517" s="8"/>
      <c r="E517" s="106" t="s">
        <v>285</v>
      </c>
      <c r="F517" s="74"/>
      <c r="G517" s="74"/>
      <c r="H517" s="74"/>
      <c r="I517" s="74"/>
      <c r="J517" s="74">
        <v>2933.84</v>
      </c>
      <c r="K517" s="74"/>
      <c r="L517" s="74"/>
      <c r="M517" s="74"/>
      <c r="N517" s="74"/>
      <c r="O517" s="74"/>
      <c r="P517" s="74">
        <f t="shared" si="187"/>
        <v>0</v>
      </c>
      <c r="Q517" s="74"/>
      <c r="R517" s="76" t="e">
        <f t="shared" si="188"/>
        <v>#DIV/0!</v>
      </c>
      <c r="S517" s="74"/>
      <c r="T517" s="76" t="e">
        <f t="shared" si="189"/>
        <v>#DIV/0!</v>
      </c>
      <c r="U517" s="74"/>
      <c r="V517" s="76" t="e">
        <f t="shared" si="190"/>
        <v>#DIV/0!</v>
      </c>
      <c r="W517" s="74"/>
      <c r="X517" s="77" t="e">
        <f t="shared" si="191"/>
        <v>#DIV/0!</v>
      </c>
      <c r="Y517" s="74"/>
      <c r="Z517" s="108"/>
    </row>
    <row r="519" spans="1:26" x14ac:dyDescent="0.25">
      <c r="D519" s="35" t="s">
        <v>286</v>
      </c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6"/>
      <c r="S519" s="35"/>
      <c r="T519" s="36"/>
      <c r="U519" s="35"/>
      <c r="V519" s="36"/>
      <c r="W519" s="35"/>
      <c r="X519" s="36"/>
      <c r="Y519" s="35"/>
      <c r="Z519" s="35"/>
    </row>
    <row r="520" spans="1:26" x14ac:dyDescent="0.25">
      <c r="D520" s="104"/>
      <c r="E520" s="16"/>
      <c r="F520" s="16"/>
      <c r="G520" s="16" t="s">
        <v>1</v>
      </c>
      <c r="H520" s="16" t="s">
        <v>2</v>
      </c>
      <c r="I520" s="16" t="s">
        <v>3</v>
      </c>
      <c r="J520" s="16" t="s">
        <v>4</v>
      </c>
      <c r="K520" s="16" t="s">
        <v>5</v>
      </c>
      <c r="L520" s="16" t="s">
        <v>6</v>
      </c>
      <c r="M520" s="16" t="s">
        <v>7</v>
      </c>
      <c r="N520" s="16" t="s">
        <v>8</v>
      </c>
      <c r="O520" s="16" t="s">
        <v>9</v>
      </c>
      <c r="P520" s="16" t="s">
        <v>10</v>
      </c>
      <c r="Q520" s="16" t="s">
        <v>11</v>
      </c>
      <c r="R520" s="17" t="s">
        <v>12</v>
      </c>
      <c r="S520" s="16" t="s">
        <v>13</v>
      </c>
      <c r="T520" s="17" t="s">
        <v>14</v>
      </c>
      <c r="U520" s="16" t="s">
        <v>15</v>
      </c>
      <c r="V520" s="17" t="s">
        <v>16</v>
      </c>
      <c r="W520" s="16" t="s">
        <v>17</v>
      </c>
      <c r="X520" s="17" t="s">
        <v>18</v>
      </c>
      <c r="Y520" s="16" t="s">
        <v>19</v>
      </c>
      <c r="Z520" s="16" t="s">
        <v>20</v>
      </c>
    </row>
    <row r="521" spans="1:26" x14ac:dyDescent="0.25">
      <c r="A521" s="10">
        <v>8</v>
      </c>
      <c r="B521" s="10">
        <v>6</v>
      </c>
      <c r="D521" s="105" t="s">
        <v>21</v>
      </c>
      <c r="E521" s="18">
        <v>41</v>
      </c>
      <c r="F521" s="18" t="s">
        <v>23</v>
      </c>
      <c r="G521" s="19">
        <f>SUM(G525:G525)</f>
        <v>0</v>
      </c>
      <c r="H521" s="19">
        <f>SUM(H525:H525)</f>
        <v>0</v>
      </c>
      <c r="I521" s="19">
        <f>SUM(I525:I525)</f>
        <v>0</v>
      </c>
      <c r="J521" s="19">
        <f>SUM(J525:J525)</f>
        <v>400</v>
      </c>
      <c r="K521" s="19">
        <f t="shared" ref="K521:Q521" si="192">SUM(K525:K527)</f>
        <v>31000</v>
      </c>
      <c r="L521" s="19">
        <f t="shared" si="192"/>
        <v>0</v>
      </c>
      <c r="M521" s="19">
        <f t="shared" si="192"/>
        <v>0</v>
      </c>
      <c r="N521" s="19">
        <f t="shared" si="192"/>
        <v>0</v>
      </c>
      <c r="O521" s="19">
        <f t="shared" si="192"/>
        <v>0</v>
      </c>
      <c r="P521" s="19">
        <f t="shared" si="192"/>
        <v>31000</v>
      </c>
      <c r="Q521" s="19">
        <f t="shared" si="192"/>
        <v>0</v>
      </c>
      <c r="R521" s="20">
        <f>Q521/$P521</f>
        <v>0</v>
      </c>
      <c r="S521" s="19">
        <f>SUM(S525:S527)</f>
        <v>0</v>
      </c>
      <c r="T521" s="20">
        <f>S521/$P521</f>
        <v>0</v>
      </c>
      <c r="U521" s="19">
        <f>SUM(U525:U527)</f>
        <v>0</v>
      </c>
      <c r="V521" s="20">
        <f>U521/$P521</f>
        <v>0</v>
      </c>
      <c r="W521" s="19">
        <f>SUM(W525:W527)</f>
        <v>0</v>
      </c>
      <c r="X521" s="20">
        <f>W521/$P521</f>
        <v>0</v>
      </c>
      <c r="Y521" s="19">
        <f>SUM(Y525:Y525)</f>
        <v>0</v>
      </c>
      <c r="Z521" s="19">
        <f>SUM(Z525:Z525)</f>
        <v>0</v>
      </c>
    </row>
    <row r="522" spans="1:26" x14ac:dyDescent="0.25">
      <c r="A522" s="10">
        <v>8</v>
      </c>
      <c r="B522" s="10">
        <v>6</v>
      </c>
      <c r="D522" s="24"/>
      <c r="E522" s="25"/>
      <c r="F522" s="21" t="s">
        <v>31</v>
      </c>
      <c r="G522" s="22">
        <f t="shared" ref="G522:Q522" si="193">SUM(G521:G521)</f>
        <v>0</v>
      </c>
      <c r="H522" s="22">
        <f t="shared" si="193"/>
        <v>0</v>
      </c>
      <c r="I522" s="22">
        <f t="shared" si="193"/>
        <v>0</v>
      </c>
      <c r="J522" s="22">
        <f t="shared" si="193"/>
        <v>400</v>
      </c>
      <c r="K522" s="22">
        <f t="shared" si="193"/>
        <v>31000</v>
      </c>
      <c r="L522" s="22">
        <f t="shared" si="193"/>
        <v>0</v>
      </c>
      <c r="M522" s="22">
        <f t="shared" si="193"/>
        <v>0</v>
      </c>
      <c r="N522" s="22">
        <f t="shared" si="193"/>
        <v>0</v>
      </c>
      <c r="O522" s="22">
        <f t="shared" si="193"/>
        <v>0</v>
      </c>
      <c r="P522" s="22">
        <f t="shared" si="193"/>
        <v>31000</v>
      </c>
      <c r="Q522" s="22">
        <f t="shared" si="193"/>
        <v>0</v>
      </c>
      <c r="R522" s="23">
        <f>Q522/$P522</f>
        <v>0</v>
      </c>
      <c r="S522" s="22">
        <f>SUM(S521:S521)</f>
        <v>0</v>
      </c>
      <c r="T522" s="23">
        <f>S522/$P522</f>
        <v>0</v>
      </c>
      <c r="U522" s="22">
        <f>SUM(U521:U521)</f>
        <v>0</v>
      </c>
      <c r="V522" s="23">
        <f>U522/$P522</f>
        <v>0</v>
      </c>
      <c r="W522" s="22">
        <f>SUM(W521:W521)</f>
        <v>0</v>
      </c>
      <c r="X522" s="23">
        <f>W522/$P522</f>
        <v>0</v>
      </c>
      <c r="Y522" s="22">
        <f>SUM(Y521:Y521)</f>
        <v>0</v>
      </c>
      <c r="Z522" s="22">
        <f>SUM(Z521:Z521)</f>
        <v>0</v>
      </c>
    </row>
    <row r="524" spans="1:26" x14ac:dyDescent="0.25">
      <c r="D524" s="10" t="s">
        <v>57</v>
      </c>
    </row>
    <row r="525" spans="1:26" x14ac:dyDescent="0.25">
      <c r="D525" s="8" t="s">
        <v>287</v>
      </c>
      <c r="E525" s="73" t="s">
        <v>288</v>
      </c>
      <c r="F525" s="74"/>
      <c r="G525" s="75"/>
      <c r="H525" s="75"/>
      <c r="I525" s="75"/>
      <c r="J525" s="75">
        <v>400</v>
      </c>
      <c r="K525" s="75">
        <v>1000</v>
      </c>
      <c r="L525" s="75"/>
      <c r="M525" s="75"/>
      <c r="N525" s="75">
        <v>10000</v>
      </c>
      <c r="O525" s="75"/>
      <c r="P525" s="75">
        <f>K525+SUM(L525:O525)</f>
        <v>11000</v>
      </c>
      <c r="Q525" s="75">
        <v>0</v>
      </c>
      <c r="R525" s="76">
        <f>Q525/$P525</f>
        <v>0</v>
      </c>
      <c r="S525" s="75">
        <v>0</v>
      </c>
      <c r="T525" s="76">
        <f>S525/$P525</f>
        <v>0</v>
      </c>
      <c r="U525" s="75">
        <v>0</v>
      </c>
      <c r="V525" s="76">
        <f>U525/$P525</f>
        <v>0</v>
      </c>
      <c r="W525" s="75">
        <v>0</v>
      </c>
      <c r="X525" s="77">
        <f>W525/$P525</f>
        <v>0</v>
      </c>
      <c r="Y525" s="75"/>
      <c r="Z525" s="78"/>
    </row>
    <row r="526" spans="1:26" x14ac:dyDescent="0.25">
      <c r="D526" s="8"/>
      <c r="E526" s="73" t="s">
        <v>289</v>
      </c>
      <c r="F526" s="74"/>
      <c r="G526" s="75"/>
      <c r="H526" s="75"/>
      <c r="I526" s="75"/>
      <c r="J526" s="75"/>
      <c r="K526" s="75">
        <v>0</v>
      </c>
      <c r="L526" s="75"/>
      <c r="M526" s="75"/>
      <c r="N526" s="75">
        <v>20000</v>
      </c>
      <c r="O526" s="75"/>
      <c r="P526" s="75">
        <f>K526+SUM(L526:O526)</f>
        <v>20000</v>
      </c>
      <c r="Q526" s="75">
        <v>0</v>
      </c>
      <c r="R526" s="76">
        <f>Q526/$P526</f>
        <v>0</v>
      </c>
      <c r="S526" s="75">
        <v>0</v>
      </c>
      <c r="T526" s="76">
        <f>S526/$P526</f>
        <v>0</v>
      </c>
      <c r="U526" s="75">
        <v>0</v>
      </c>
      <c r="V526" s="76">
        <f>U526/$P526</f>
        <v>0</v>
      </c>
      <c r="W526" s="75">
        <v>0</v>
      </c>
      <c r="X526" s="77">
        <f>W526/$P526</f>
        <v>0</v>
      </c>
      <c r="Y526" s="75"/>
      <c r="Z526" s="78"/>
    </row>
    <row r="527" spans="1:26" x14ac:dyDescent="0.25">
      <c r="D527" s="8"/>
      <c r="E527" s="73" t="s">
        <v>290</v>
      </c>
      <c r="F527" s="74"/>
      <c r="G527" s="75"/>
      <c r="H527" s="75"/>
      <c r="I527" s="75"/>
      <c r="J527" s="75"/>
      <c r="K527" s="75">
        <v>30000</v>
      </c>
      <c r="L527" s="75"/>
      <c r="M527" s="75"/>
      <c r="N527" s="75">
        <v>-30000</v>
      </c>
      <c r="O527" s="75"/>
      <c r="P527" s="75">
        <f>K527+SUM(L527:O527)</f>
        <v>0</v>
      </c>
      <c r="Q527" s="75">
        <v>0</v>
      </c>
      <c r="R527" s="76" t="e">
        <f>Q527/$P527</f>
        <v>#DIV/0!</v>
      </c>
      <c r="S527" s="75">
        <v>0</v>
      </c>
      <c r="T527" s="76" t="e">
        <f>S527/$P527</f>
        <v>#DIV/0!</v>
      </c>
      <c r="U527" s="75">
        <v>0</v>
      </c>
      <c r="V527" s="76" t="e">
        <f>U527/$P527</f>
        <v>#DIV/0!</v>
      </c>
      <c r="W527" s="75">
        <v>0</v>
      </c>
      <c r="X527" s="77" t="e">
        <f>W527/$P527</f>
        <v>#DIV/0!</v>
      </c>
      <c r="Y527" s="75"/>
      <c r="Z527" s="78"/>
    </row>
    <row r="529" spans="1:26" x14ac:dyDescent="0.25">
      <c r="D529" s="35" t="s">
        <v>291</v>
      </c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6"/>
      <c r="S529" s="35"/>
      <c r="T529" s="36"/>
      <c r="U529" s="35"/>
      <c r="V529" s="36"/>
      <c r="W529" s="35"/>
      <c r="X529" s="36"/>
      <c r="Y529" s="35"/>
      <c r="Z529" s="35"/>
    </row>
    <row r="530" spans="1:26" x14ac:dyDescent="0.25">
      <c r="D530" s="104"/>
      <c r="E530" s="16"/>
      <c r="F530" s="16"/>
      <c r="G530" s="16" t="s">
        <v>1</v>
      </c>
      <c r="H530" s="16" t="s">
        <v>2</v>
      </c>
      <c r="I530" s="16" t="s">
        <v>3</v>
      </c>
      <c r="J530" s="16" t="s">
        <v>4</v>
      </c>
      <c r="K530" s="16" t="s">
        <v>5</v>
      </c>
      <c r="L530" s="16" t="s">
        <v>6</v>
      </c>
      <c r="M530" s="16" t="s">
        <v>7</v>
      </c>
      <c r="N530" s="16" t="s">
        <v>8</v>
      </c>
      <c r="O530" s="16" t="s">
        <v>9</v>
      </c>
      <c r="P530" s="16" t="s">
        <v>10</v>
      </c>
      <c r="Q530" s="16" t="s">
        <v>11</v>
      </c>
      <c r="R530" s="17" t="s">
        <v>12</v>
      </c>
      <c r="S530" s="16" t="s">
        <v>13</v>
      </c>
      <c r="T530" s="17" t="s">
        <v>14</v>
      </c>
      <c r="U530" s="16" t="s">
        <v>15</v>
      </c>
      <c r="V530" s="17" t="s">
        <v>16</v>
      </c>
      <c r="W530" s="16" t="s">
        <v>17</v>
      </c>
      <c r="X530" s="17" t="s">
        <v>18</v>
      </c>
      <c r="Y530" s="16" t="s">
        <v>19</v>
      </c>
      <c r="Z530" s="16" t="s">
        <v>20</v>
      </c>
    </row>
    <row r="531" spans="1:26" x14ac:dyDescent="0.25">
      <c r="A531" s="10">
        <v>8</v>
      </c>
      <c r="B531" s="10">
        <v>7</v>
      </c>
      <c r="D531" s="8" t="s">
        <v>21</v>
      </c>
      <c r="E531" s="18">
        <v>111</v>
      </c>
      <c r="F531" s="18" t="s">
        <v>99</v>
      </c>
      <c r="G531" s="19">
        <f>G536</f>
        <v>3000</v>
      </c>
      <c r="H531" s="19">
        <v>0</v>
      </c>
      <c r="I531" s="19">
        <v>0</v>
      </c>
      <c r="J531" s="19">
        <v>0</v>
      </c>
      <c r="K531" s="19">
        <v>0</v>
      </c>
      <c r="L531" s="19"/>
      <c r="M531" s="19"/>
      <c r="N531" s="19"/>
      <c r="O531" s="19"/>
      <c r="P531" s="19">
        <v>0</v>
      </c>
      <c r="Q531" s="19">
        <v>0</v>
      </c>
      <c r="R531" s="20" t="e">
        <f>Q531/$P531</f>
        <v>#DIV/0!</v>
      </c>
      <c r="S531" s="19">
        <v>0</v>
      </c>
      <c r="T531" s="20" t="e">
        <f>S531/$P531</f>
        <v>#DIV/0!</v>
      </c>
      <c r="U531" s="19">
        <v>0</v>
      </c>
      <c r="V531" s="20" t="e">
        <f>U531/$P531</f>
        <v>#DIV/0!</v>
      </c>
      <c r="W531" s="19">
        <v>0</v>
      </c>
      <c r="X531" s="20" t="e">
        <f>W531/$P531</f>
        <v>#DIV/0!</v>
      </c>
      <c r="Y531" s="19">
        <v>0</v>
      </c>
      <c r="Z531" s="19">
        <v>0</v>
      </c>
    </row>
    <row r="532" spans="1:26" x14ac:dyDescent="0.25">
      <c r="A532" s="10">
        <v>8</v>
      </c>
      <c r="B532" s="10">
        <v>7</v>
      </c>
      <c r="D532" s="8"/>
      <c r="E532" s="18">
        <v>41</v>
      </c>
      <c r="F532" s="18" t="s">
        <v>23</v>
      </c>
      <c r="G532" s="19">
        <f>G537</f>
        <v>7785.81</v>
      </c>
      <c r="H532" s="19">
        <v>0</v>
      </c>
      <c r="I532" s="19">
        <f>I538+I539</f>
        <v>6000</v>
      </c>
      <c r="J532" s="19">
        <f>J538+J539</f>
        <v>3534.61</v>
      </c>
      <c r="K532" s="19">
        <f t="shared" ref="K532:Q532" si="194">K540</f>
        <v>5500</v>
      </c>
      <c r="L532" s="19">
        <f t="shared" si="194"/>
        <v>0</v>
      </c>
      <c r="M532" s="19">
        <f t="shared" si="194"/>
        <v>17500</v>
      </c>
      <c r="N532" s="19">
        <f t="shared" si="194"/>
        <v>0</v>
      </c>
      <c r="O532" s="19">
        <f t="shared" si="194"/>
        <v>0</v>
      </c>
      <c r="P532" s="19">
        <f t="shared" si="194"/>
        <v>23000</v>
      </c>
      <c r="Q532" s="19">
        <f t="shared" si="194"/>
        <v>0</v>
      </c>
      <c r="R532" s="20">
        <f>Q532/$P532</f>
        <v>0</v>
      </c>
      <c r="S532" s="19">
        <f>S540</f>
        <v>1116.3599999999999</v>
      </c>
      <c r="T532" s="20">
        <f>S532/$P532</f>
        <v>4.8537391304347824E-2</v>
      </c>
      <c r="U532" s="19">
        <f>U540</f>
        <v>3704.77</v>
      </c>
      <c r="V532" s="20">
        <f>U532/$P532</f>
        <v>0.16107695652173912</v>
      </c>
      <c r="W532" s="19">
        <f>W540</f>
        <v>20971.71</v>
      </c>
      <c r="X532" s="20">
        <f>W532/$P532</f>
        <v>0.91181347826086956</v>
      </c>
      <c r="Y532" s="19">
        <v>0</v>
      </c>
      <c r="Z532" s="19">
        <v>0</v>
      </c>
    </row>
    <row r="533" spans="1:26" x14ac:dyDescent="0.25">
      <c r="A533" s="10">
        <v>8</v>
      </c>
      <c r="B533" s="10">
        <v>7</v>
      </c>
      <c r="D533" s="24"/>
      <c r="E533" s="25"/>
      <c r="F533" s="21" t="s">
        <v>31</v>
      </c>
      <c r="G533" s="22">
        <f>SUM(G531:G531)</f>
        <v>3000</v>
      </c>
      <c r="H533" s="22">
        <f t="shared" ref="H533:Q533" si="195">SUM(H531:H532)</f>
        <v>0</v>
      </c>
      <c r="I533" s="22">
        <f t="shared" si="195"/>
        <v>6000</v>
      </c>
      <c r="J533" s="22">
        <f t="shared" si="195"/>
        <v>3534.61</v>
      </c>
      <c r="K533" s="22">
        <f t="shared" si="195"/>
        <v>5500</v>
      </c>
      <c r="L533" s="22">
        <f t="shared" si="195"/>
        <v>0</v>
      </c>
      <c r="M533" s="22">
        <f t="shared" si="195"/>
        <v>17500</v>
      </c>
      <c r="N533" s="22">
        <f t="shared" si="195"/>
        <v>0</v>
      </c>
      <c r="O533" s="22">
        <f t="shared" si="195"/>
        <v>0</v>
      </c>
      <c r="P533" s="22">
        <f t="shared" si="195"/>
        <v>23000</v>
      </c>
      <c r="Q533" s="22">
        <f t="shared" si="195"/>
        <v>0</v>
      </c>
      <c r="R533" s="23">
        <f>Q533/$P533</f>
        <v>0</v>
      </c>
      <c r="S533" s="22">
        <f>SUM(S531:S532)</f>
        <v>1116.3599999999999</v>
      </c>
      <c r="T533" s="23">
        <f>S533/$P533</f>
        <v>4.8537391304347824E-2</v>
      </c>
      <c r="U533" s="22">
        <f>SUM(U531:U532)</f>
        <v>3704.77</v>
      </c>
      <c r="V533" s="23">
        <f>U533/$P533</f>
        <v>0.16107695652173912</v>
      </c>
      <c r="W533" s="22">
        <f>SUM(W531:W532)</f>
        <v>20971.71</v>
      </c>
      <c r="X533" s="23">
        <f>W533/$P533</f>
        <v>0.91181347826086956</v>
      </c>
      <c r="Y533" s="22">
        <f>SUM(Y531:Y532)</f>
        <v>0</v>
      </c>
      <c r="Z533" s="22">
        <f>SUM(Z531:Z532)</f>
        <v>0</v>
      </c>
    </row>
    <row r="535" spans="1:26" x14ac:dyDescent="0.25">
      <c r="D535" s="10" t="s">
        <v>57</v>
      </c>
    </row>
    <row r="536" spans="1:26" x14ac:dyDescent="0.25">
      <c r="D536" s="8" t="s">
        <v>292</v>
      </c>
      <c r="E536" s="73" t="s">
        <v>293</v>
      </c>
      <c r="F536" s="74"/>
      <c r="G536" s="75">
        <v>3000</v>
      </c>
      <c r="H536" s="75"/>
      <c r="I536" s="75"/>
      <c r="J536" s="75"/>
      <c r="K536" s="75"/>
      <c r="L536" s="75"/>
      <c r="M536" s="75"/>
      <c r="N536" s="75"/>
      <c r="O536" s="75"/>
      <c r="P536" s="75">
        <f>K536+SUM(L536:O536)</f>
        <v>0</v>
      </c>
      <c r="Q536" s="75"/>
      <c r="R536" s="76" t="e">
        <f>Q536/$P536</f>
        <v>#DIV/0!</v>
      </c>
      <c r="S536" s="75"/>
      <c r="T536" s="76" t="e">
        <f>S536/$P536</f>
        <v>#DIV/0!</v>
      </c>
      <c r="U536" s="75"/>
      <c r="V536" s="76" t="e">
        <f>U536/$P536</f>
        <v>#DIV/0!</v>
      </c>
      <c r="W536" s="75"/>
      <c r="X536" s="77" t="e">
        <f>W536/$P536</f>
        <v>#DIV/0!</v>
      </c>
      <c r="Y536" s="75"/>
      <c r="Z536" s="78"/>
    </row>
    <row r="537" spans="1:26" x14ac:dyDescent="0.25">
      <c r="D537" s="8"/>
      <c r="E537" s="73" t="s">
        <v>294</v>
      </c>
      <c r="F537" s="74"/>
      <c r="G537" s="75">
        <v>7785.81</v>
      </c>
      <c r="H537" s="75"/>
      <c r="I537" s="75"/>
      <c r="J537" s="75"/>
      <c r="K537" s="75"/>
      <c r="L537" s="75"/>
      <c r="M537" s="75"/>
      <c r="N537" s="75"/>
      <c r="O537" s="75"/>
      <c r="P537" s="75">
        <f>K537+SUM(L537:O537)</f>
        <v>0</v>
      </c>
      <c r="Q537" s="75"/>
      <c r="R537" s="76" t="e">
        <f>Q537/$P537</f>
        <v>#DIV/0!</v>
      </c>
      <c r="S537" s="75"/>
      <c r="T537" s="76" t="e">
        <f>S537/$P537</f>
        <v>#DIV/0!</v>
      </c>
      <c r="U537" s="75"/>
      <c r="V537" s="76" t="e">
        <f>U537/$P537</f>
        <v>#DIV/0!</v>
      </c>
      <c r="W537" s="75"/>
      <c r="X537" s="77" t="e">
        <f>W537/$P537</f>
        <v>#DIV/0!</v>
      </c>
      <c r="Y537" s="75"/>
      <c r="Z537" s="78"/>
    </row>
    <row r="538" spans="1:26" x14ac:dyDescent="0.25">
      <c r="D538" s="8"/>
      <c r="E538" s="73" t="s">
        <v>295</v>
      </c>
      <c r="F538" s="74"/>
      <c r="G538" s="75"/>
      <c r="H538" s="75"/>
      <c r="I538" s="75">
        <v>5000</v>
      </c>
      <c r="J538" s="75">
        <v>2534.61</v>
      </c>
      <c r="K538" s="75"/>
      <c r="L538" s="75"/>
      <c r="M538" s="75"/>
      <c r="N538" s="75"/>
      <c r="O538" s="75"/>
      <c r="P538" s="75">
        <f>K538+SUM(L538:O538)</f>
        <v>0</v>
      </c>
      <c r="Q538" s="75"/>
      <c r="R538" s="76" t="e">
        <f>Q538/$P538</f>
        <v>#DIV/0!</v>
      </c>
      <c r="S538" s="75"/>
      <c r="T538" s="76" t="e">
        <f>S538/$P538</f>
        <v>#DIV/0!</v>
      </c>
      <c r="U538" s="75"/>
      <c r="V538" s="76" t="e">
        <f>U538/$P538</f>
        <v>#DIV/0!</v>
      </c>
      <c r="W538" s="75"/>
      <c r="X538" s="77" t="e">
        <f>W538/$P538</f>
        <v>#DIV/0!</v>
      </c>
      <c r="Y538" s="75"/>
      <c r="Z538" s="78"/>
    </row>
    <row r="539" spans="1:26" x14ac:dyDescent="0.25">
      <c r="D539" s="8"/>
      <c r="E539" s="73" t="s">
        <v>296</v>
      </c>
      <c r="F539" s="74"/>
      <c r="G539" s="75"/>
      <c r="H539" s="75"/>
      <c r="I539" s="75">
        <v>1000</v>
      </c>
      <c r="J539" s="75">
        <v>1000</v>
      </c>
      <c r="K539" s="75"/>
      <c r="L539" s="75"/>
      <c r="M539" s="75"/>
      <c r="N539" s="75"/>
      <c r="O539" s="75"/>
      <c r="P539" s="75">
        <f>K539+SUM(L539:O539)</f>
        <v>0</v>
      </c>
      <c r="Q539" s="75"/>
      <c r="R539" s="76" t="e">
        <f>Q539/$P539</f>
        <v>#DIV/0!</v>
      </c>
      <c r="S539" s="75"/>
      <c r="T539" s="76" t="e">
        <f>S539/$P539</f>
        <v>#DIV/0!</v>
      </c>
      <c r="U539" s="75"/>
      <c r="V539" s="76" t="e">
        <f>U539/$P539</f>
        <v>#DIV/0!</v>
      </c>
      <c r="W539" s="75"/>
      <c r="X539" s="77" t="e">
        <f>W539/$P539</f>
        <v>#DIV/0!</v>
      </c>
      <c r="Y539" s="75"/>
      <c r="Z539" s="78"/>
    </row>
    <row r="540" spans="1:26" x14ac:dyDescent="0.25">
      <c r="D540" s="8"/>
      <c r="E540" s="73" t="s">
        <v>297</v>
      </c>
      <c r="F540" s="74"/>
      <c r="G540" s="75"/>
      <c r="H540" s="75"/>
      <c r="I540" s="75"/>
      <c r="J540" s="75"/>
      <c r="K540" s="75">
        <v>5500</v>
      </c>
      <c r="L540" s="75"/>
      <c r="M540" s="75">
        <v>17500</v>
      </c>
      <c r="N540" s="75"/>
      <c r="O540" s="75"/>
      <c r="P540" s="75">
        <f>K540+SUM(L540:O540)</f>
        <v>23000</v>
      </c>
      <c r="Q540" s="75">
        <v>0</v>
      </c>
      <c r="R540" s="76">
        <f>Q540/$P540</f>
        <v>0</v>
      </c>
      <c r="S540" s="75">
        <v>1116.3599999999999</v>
      </c>
      <c r="T540" s="76">
        <f>S540/$P540</f>
        <v>4.8537391304347824E-2</v>
      </c>
      <c r="U540" s="75">
        <v>3704.77</v>
      </c>
      <c r="V540" s="76">
        <f>U540/$P540</f>
        <v>0.16107695652173912</v>
      </c>
      <c r="W540" s="75">
        <v>20971.71</v>
      </c>
      <c r="X540" s="77">
        <f>W540/$P540</f>
        <v>0.91181347826086956</v>
      </c>
      <c r="Y540" s="75"/>
      <c r="Z540" s="78"/>
    </row>
    <row r="542" spans="1:26" x14ac:dyDescent="0.25">
      <c r="D542" s="35" t="s">
        <v>298</v>
      </c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6"/>
      <c r="S542" s="35"/>
      <c r="T542" s="36"/>
      <c r="U542" s="35"/>
      <c r="V542" s="36"/>
      <c r="W542" s="35"/>
      <c r="X542" s="36"/>
      <c r="Y542" s="35"/>
      <c r="Z542" s="35"/>
    </row>
    <row r="543" spans="1:26" x14ac:dyDescent="0.25">
      <c r="D543" s="104"/>
      <c r="E543" s="16"/>
      <c r="F543" s="16"/>
      <c r="G543" s="16" t="s">
        <v>1</v>
      </c>
      <c r="H543" s="16" t="s">
        <v>2</v>
      </c>
      <c r="I543" s="16" t="s">
        <v>3</v>
      </c>
      <c r="J543" s="16" t="s">
        <v>4</v>
      </c>
      <c r="K543" s="16" t="s">
        <v>5</v>
      </c>
      <c r="L543" s="16" t="s">
        <v>6</v>
      </c>
      <c r="M543" s="16" t="s">
        <v>7</v>
      </c>
      <c r="N543" s="16" t="s">
        <v>8</v>
      </c>
      <c r="O543" s="16" t="s">
        <v>9</v>
      </c>
      <c r="P543" s="16" t="s">
        <v>10</v>
      </c>
      <c r="Q543" s="16" t="s">
        <v>11</v>
      </c>
      <c r="R543" s="17" t="s">
        <v>12</v>
      </c>
      <c r="S543" s="16" t="s">
        <v>13</v>
      </c>
      <c r="T543" s="17" t="s">
        <v>14</v>
      </c>
      <c r="U543" s="16" t="s">
        <v>15</v>
      </c>
      <c r="V543" s="17" t="s">
        <v>16</v>
      </c>
      <c r="W543" s="16" t="s">
        <v>17</v>
      </c>
      <c r="X543" s="17" t="s">
        <v>18</v>
      </c>
      <c r="Y543" s="16" t="s">
        <v>19</v>
      </c>
      <c r="Z543" s="16" t="s">
        <v>20</v>
      </c>
    </row>
    <row r="544" spans="1:26" x14ac:dyDescent="0.25">
      <c r="A544" s="10">
        <v>8</v>
      </c>
      <c r="B544" s="10">
        <v>8</v>
      </c>
      <c r="D544" s="96" t="s">
        <v>21</v>
      </c>
      <c r="E544" s="18">
        <v>41</v>
      </c>
      <c r="F544" s="18" t="s">
        <v>23</v>
      </c>
      <c r="G544" s="19">
        <f t="shared" ref="G544:Q544" si="196">G548</f>
        <v>18490.330000000002</v>
      </c>
      <c r="H544" s="19">
        <f t="shared" si="196"/>
        <v>5424</v>
      </c>
      <c r="I544" s="19">
        <f t="shared" si="196"/>
        <v>1560</v>
      </c>
      <c r="J544" s="19">
        <f t="shared" si="196"/>
        <v>435.1</v>
      </c>
      <c r="K544" s="19">
        <f t="shared" si="196"/>
        <v>1000</v>
      </c>
      <c r="L544" s="19">
        <f t="shared" si="196"/>
        <v>0</v>
      </c>
      <c r="M544" s="19">
        <f t="shared" si="196"/>
        <v>2120</v>
      </c>
      <c r="N544" s="19">
        <f t="shared" si="196"/>
        <v>0</v>
      </c>
      <c r="O544" s="19">
        <f t="shared" si="196"/>
        <v>0</v>
      </c>
      <c r="P544" s="19">
        <f t="shared" si="196"/>
        <v>3120</v>
      </c>
      <c r="Q544" s="19">
        <f t="shared" si="196"/>
        <v>0</v>
      </c>
      <c r="R544" s="20">
        <f>Q544/$P544</f>
        <v>0</v>
      </c>
      <c r="S544" s="19">
        <f>S548</f>
        <v>1560</v>
      </c>
      <c r="T544" s="20">
        <f>S544/$P544</f>
        <v>0.5</v>
      </c>
      <c r="U544" s="19">
        <f>U548</f>
        <v>3120</v>
      </c>
      <c r="V544" s="20">
        <f>U544/$P544</f>
        <v>1</v>
      </c>
      <c r="W544" s="19">
        <f>W548</f>
        <v>3120</v>
      </c>
      <c r="X544" s="20">
        <f>W544/$P544</f>
        <v>1</v>
      </c>
      <c r="Y544" s="19">
        <f>Y548</f>
        <v>0</v>
      </c>
      <c r="Z544" s="19">
        <f>Z548</f>
        <v>0</v>
      </c>
    </row>
    <row r="545" spans="1:26" x14ac:dyDescent="0.25">
      <c r="A545" s="10">
        <v>8</v>
      </c>
      <c r="B545" s="10">
        <v>8</v>
      </c>
      <c r="D545" s="24"/>
      <c r="E545" s="25"/>
      <c r="F545" s="21" t="s">
        <v>31</v>
      </c>
      <c r="G545" s="22">
        <f t="shared" ref="G545:Q545" si="197">SUM(G544)</f>
        <v>18490.330000000002</v>
      </c>
      <c r="H545" s="22">
        <f t="shared" si="197"/>
        <v>5424</v>
      </c>
      <c r="I545" s="22">
        <f t="shared" si="197"/>
        <v>1560</v>
      </c>
      <c r="J545" s="22">
        <f t="shared" si="197"/>
        <v>435.1</v>
      </c>
      <c r="K545" s="22">
        <f t="shared" si="197"/>
        <v>1000</v>
      </c>
      <c r="L545" s="22">
        <f t="shared" si="197"/>
        <v>0</v>
      </c>
      <c r="M545" s="22">
        <f t="shared" si="197"/>
        <v>2120</v>
      </c>
      <c r="N545" s="22">
        <f t="shared" si="197"/>
        <v>0</v>
      </c>
      <c r="O545" s="22">
        <f t="shared" si="197"/>
        <v>0</v>
      </c>
      <c r="P545" s="22">
        <f t="shared" si="197"/>
        <v>3120</v>
      </c>
      <c r="Q545" s="22">
        <f t="shared" si="197"/>
        <v>0</v>
      </c>
      <c r="R545" s="23">
        <f>Q545/$P545</f>
        <v>0</v>
      </c>
      <c r="S545" s="22">
        <f>SUM(S544)</f>
        <v>1560</v>
      </c>
      <c r="T545" s="23">
        <f>S545/$P545</f>
        <v>0.5</v>
      </c>
      <c r="U545" s="22">
        <f>SUM(U544)</f>
        <v>3120</v>
      </c>
      <c r="V545" s="23">
        <f>U545/$P545</f>
        <v>1</v>
      </c>
      <c r="W545" s="22">
        <f>SUM(W544)</f>
        <v>3120</v>
      </c>
      <c r="X545" s="23">
        <f>W545/$P545</f>
        <v>1</v>
      </c>
      <c r="Y545" s="22">
        <f>SUM(Y544)</f>
        <v>0</v>
      </c>
      <c r="Z545" s="22">
        <f>SUM(Z544)</f>
        <v>0</v>
      </c>
    </row>
    <row r="547" spans="1:26" x14ac:dyDescent="0.25">
      <c r="D547" s="10" t="s">
        <v>57</v>
      </c>
    </row>
    <row r="548" spans="1:26" x14ac:dyDescent="0.25">
      <c r="D548" s="79" t="s">
        <v>299</v>
      </c>
      <c r="E548" s="73" t="s">
        <v>300</v>
      </c>
      <c r="F548" s="74"/>
      <c r="G548" s="75">
        <v>18490.330000000002</v>
      </c>
      <c r="H548" s="75">
        <v>5424</v>
      </c>
      <c r="I548" s="75">
        <v>1560</v>
      </c>
      <c r="J548" s="75">
        <v>435.1</v>
      </c>
      <c r="K548" s="75">
        <v>1000</v>
      </c>
      <c r="L548" s="75"/>
      <c r="M548" s="75">
        <v>2120</v>
      </c>
      <c r="N548" s="75"/>
      <c r="O548" s="75"/>
      <c r="P548" s="75">
        <f>K548+SUM(L548:O548)</f>
        <v>3120</v>
      </c>
      <c r="Q548" s="75">
        <v>0</v>
      </c>
      <c r="R548" s="76">
        <f>Q548/$P548</f>
        <v>0</v>
      </c>
      <c r="S548" s="75">
        <v>1560</v>
      </c>
      <c r="T548" s="76">
        <f>S548/$P548</f>
        <v>0.5</v>
      </c>
      <c r="U548" s="75">
        <v>3120</v>
      </c>
      <c r="V548" s="76">
        <f>U548/$P548</f>
        <v>1</v>
      </c>
      <c r="W548" s="75">
        <v>3120</v>
      </c>
      <c r="X548" s="77">
        <f>W548/$P548</f>
        <v>1</v>
      </c>
      <c r="Y548" s="75"/>
      <c r="Z548" s="78"/>
    </row>
    <row r="550" spans="1:26" x14ac:dyDescent="0.25">
      <c r="D550" s="26" t="s">
        <v>301</v>
      </c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7"/>
      <c r="S550" s="26"/>
      <c r="T550" s="27"/>
      <c r="U550" s="26"/>
      <c r="V550" s="27"/>
      <c r="W550" s="26"/>
      <c r="X550" s="27"/>
      <c r="Y550" s="26"/>
      <c r="Z550" s="26"/>
    </row>
    <row r="551" spans="1:26" x14ac:dyDescent="0.25">
      <c r="D551" s="15"/>
      <c r="E551" s="15"/>
      <c r="F551" s="15"/>
      <c r="G551" s="16" t="s">
        <v>1</v>
      </c>
      <c r="H551" s="16" t="s">
        <v>2</v>
      </c>
      <c r="I551" s="16" t="s">
        <v>3</v>
      </c>
      <c r="J551" s="16" t="s">
        <v>4</v>
      </c>
      <c r="K551" s="16" t="s">
        <v>5</v>
      </c>
      <c r="L551" s="16" t="s">
        <v>6</v>
      </c>
      <c r="M551" s="16" t="s">
        <v>7</v>
      </c>
      <c r="N551" s="16" t="s">
        <v>8</v>
      </c>
      <c r="O551" s="16" t="s">
        <v>9</v>
      </c>
      <c r="P551" s="16" t="s">
        <v>10</v>
      </c>
      <c r="Q551" s="16" t="s">
        <v>11</v>
      </c>
      <c r="R551" s="17" t="s">
        <v>12</v>
      </c>
      <c r="S551" s="16" t="s">
        <v>13</v>
      </c>
      <c r="T551" s="17" t="s">
        <v>14</v>
      </c>
      <c r="U551" s="16" t="s">
        <v>15</v>
      </c>
      <c r="V551" s="17" t="s">
        <v>16</v>
      </c>
      <c r="W551" s="16" t="s">
        <v>17</v>
      </c>
      <c r="X551" s="17" t="s">
        <v>18</v>
      </c>
      <c r="Y551" s="16" t="s">
        <v>19</v>
      </c>
      <c r="Z551" s="16" t="s">
        <v>20</v>
      </c>
    </row>
    <row r="552" spans="1:26" x14ac:dyDescent="0.25">
      <c r="A552" s="10">
        <v>9</v>
      </c>
      <c r="D552" s="28" t="s">
        <v>21</v>
      </c>
      <c r="E552" s="29">
        <v>41</v>
      </c>
      <c r="F552" s="29" t="s">
        <v>23</v>
      </c>
      <c r="G552" s="30">
        <f t="shared" ref="G552:Q552" si="198">G559</f>
        <v>8567.52</v>
      </c>
      <c r="H552" s="30">
        <f t="shared" si="198"/>
        <v>12858.03</v>
      </c>
      <c r="I552" s="30">
        <f t="shared" si="198"/>
        <v>12851</v>
      </c>
      <c r="J552" s="30">
        <f t="shared" si="198"/>
        <v>12851.279999999999</v>
      </c>
      <c r="K552" s="30">
        <f t="shared" si="198"/>
        <v>4284</v>
      </c>
      <c r="L552" s="30">
        <f t="shared" si="198"/>
        <v>0</v>
      </c>
      <c r="M552" s="30">
        <f t="shared" si="198"/>
        <v>0</v>
      </c>
      <c r="N552" s="30">
        <f t="shared" si="198"/>
        <v>0</v>
      </c>
      <c r="O552" s="30">
        <f t="shared" si="198"/>
        <v>0</v>
      </c>
      <c r="P552" s="30">
        <f t="shared" si="198"/>
        <v>4284</v>
      </c>
      <c r="Q552" s="30">
        <f t="shared" si="198"/>
        <v>2141.88</v>
      </c>
      <c r="R552" s="31">
        <f>Q552/$P552</f>
        <v>0.49997198879551824</v>
      </c>
      <c r="S552" s="30">
        <f>S559</f>
        <v>4283.76</v>
      </c>
      <c r="T552" s="31">
        <f>S552/$P552</f>
        <v>0.99994397759103648</v>
      </c>
      <c r="U552" s="30">
        <f>U559</f>
        <v>4283.76</v>
      </c>
      <c r="V552" s="31">
        <f>U552/$P552</f>
        <v>0.99994397759103648</v>
      </c>
      <c r="W552" s="30">
        <f>W559</f>
        <v>4283.76</v>
      </c>
      <c r="X552" s="31">
        <f>W552/$P552</f>
        <v>0.99994397759103648</v>
      </c>
      <c r="Y552" s="30">
        <f>Y559</f>
        <v>0</v>
      </c>
      <c r="Z552" s="30">
        <f>Z559</f>
        <v>0</v>
      </c>
    </row>
    <row r="553" spans="1:26" x14ac:dyDescent="0.25">
      <c r="A553" s="10">
        <v>9</v>
      </c>
      <c r="D553" s="24"/>
      <c r="E553" s="25"/>
      <c r="F553" s="32" t="s">
        <v>31</v>
      </c>
      <c r="G553" s="33">
        <f t="shared" ref="G553:Q553" si="199">SUM(G552:G552)</f>
        <v>8567.52</v>
      </c>
      <c r="H553" s="33">
        <f t="shared" si="199"/>
        <v>12858.03</v>
      </c>
      <c r="I553" s="33">
        <f t="shared" si="199"/>
        <v>12851</v>
      </c>
      <c r="J553" s="33">
        <f t="shared" si="199"/>
        <v>12851.279999999999</v>
      </c>
      <c r="K553" s="33">
        <f t="shared" si="199"/>
        <v>4284</v>
      </c>
      <c r="L553" s="33">
        <f t="shared" si="199"/>
        <v>0</v>
      </c>
      <c r="M553" s="33">
        <f t="shared" si="199"/>
        <v>0</v>
      </c>
      <c r="N553" s="33">
        <f t="shared" si="199"/>
        <v>0</v>
      </c>
      <c r="O553" s="33">
        <f t="shared" si="199"/>
        <v>0</v>
      </c>
      <c r="P553" s="33">
        <f t="shared" si="199"/>
        <v>4284</v>
      </c>
      <c r="Q553" s="33">
        <f t="shared" si="199"/>
        <v>2141.88</v>
      </c>
      <c r="R553" s="34">
        <f>Q553/$P553</f>
        <v>0.49997198879551824</v>
      </c>
      <c r="S553" s="33">
        <f>SUM(S552:S552)</f>
        <v>4283.76</v>
      </c>
      <c r="T553" s="34">
        <f>S553/$P553</f>
        <v>0.99994397759103648</v>
      </c>
      <c r="U553" s="33">
        <f>SUM(U552:U552)</f>
        <v>4283.76</v>
      </c>
      <c r="V553" s="34">
        <f>U553/$P553</f>
        <v>0.99994397759103648</v>
      </c>
      <c r="W553" s="33">
        <f>SUM(W552:W552)</f>
        <v>4283.76</v>
      </c>
      <c r="X553" s="34">
        <f>W553/$P553</f>
        <v>0.99994397759103648</v>
      </c>
      <c r="Y553" s="33">
        <f>SUM(Y552:Y552)</f>
        <v>0</v>
      </c>
      <c r="Z553" s="33">
        <f>SUM(Z552:Z552)</f>
        <v>0</v>
      </c>
    </row>
    <row r="555" spans="1:26" x14ac:dyDescent="0.25">
      <c r="D555" s="65" t="s">
        <v>302</v>
      </c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6"/>
      <c r="S555" s="65"/>
      <c r="T555" s="66"/>
      <c r="U555" s="65"/>
      <c r="V555" s="66"/>
      <c r="W555" s="65"/>
      <c r="X555" s="66"/>
      <c r="Y555" s="65"/>
      <c r="Z555" s="65"/>
    </row>
    <row r="556" spans="1:26" x14ac:dyDescent="0.25">
      <c r="D556" s="16" t="s">
        <v>33</v>
      </c>
      <c r="E556" s="16" t="s">
        <v>34</v>
      </c>
      <c r="F556" s="16" t="s">
        <v>35</v>
      </c>
      <c r="G556" s="16" t="s">
        <v>1</v>
      </c>
      <c r="H556" s="16" t="s">
        <v>2</v>
      </c>
      <c r="I556" s="16" t="s">
        <v>3</v>
      </c>
      <c r="J556" s="16" t="s">
        <v>4</v>
      </c>
      <c r="K556" s="16" t="s">
        <v>5</v>
      </c>
      <c r="L556" s="16" t="s">
        <v>6</v>
      </c>
      <c r="M556" s="16" t="s">
        <v>7</v>
      </c>
      <c r="N556" s="16" t="s">
        <v>8</v>
      </c>
      <c r="O556" s="16" t="s">
        <v>9</v>
      </c>
      <c r="P556" s="16" t="s">
        <v>10</v>
      </c>
      <c r="Q556" s="16" t="s">
        <v>11</v>
      </c>
      <c r="R556" s="17" t="s">
        <v>12</v>
      </c>
      <c r="S556" s="16" t="s">
        <v>13</v>
      </c>
      <c r="T556" s="17" t="s">
        <v>14</v>
      </c>
      <c r="U556" s="16" t="s">
        <v>15</v>
      </c>
      <c r="V556" s="17" t="s">
        <v>16</v>
      </c>
      <c r="W556" s="16" t="s">
        <v>17</v>
      </c>
      <c r="X556" s="17" t="s">
        <v>18</v>
      </c>
      <c r="Y556" s="16" t="s">
        <v>19</v>
      </c>
      <c r="Z556" s="16" t="s">
        <v>20</v>
      </c>
    </row>
    <row r="557" spans="1:26" x14ac:dyDescent="0.25">
      <c r="A557" s="10">
        <v>9</v>
      </c>
      <c r="B557" s="10">
        <v>1</v>
      </c>
      <c r="D557" s="7" t="s">
        <v>115</v>
      </c>
      <c r="E557" s="18">
        <v>650</v>
      </c>
      <c r="F557" s="18" t="s">
        <v>303</v>
      </c>
      <c r="G557" s="19">
        <v>1551.58</v>
      </c>
      <c r="H557" s="19">
        <v>1652.45</v>
      </c>
      <c r="I557" s="19">
        <v>797</v>
      </c>
      <c r="J557" s="19">
        <v>796.97</v>
      </c>
      <c r="K557" s="19">
        <v>65</v>
      </c>
      <c r="L557" s="19"/>
      <c r="M557" s="19"/>
      <c r="N557" s="19"/>
      <c r="O557" s="19"/>
      <c r="P557" s="19">
        <f>K557+SUM(L557:O557)</f>
        <v>65</v>
      </c>
      <c r="Q557" s="19">
        <v>45.07</v>
      </c>
      <c r="R557" s="20">
        <f>Q557/$P557</f>
        <v>0.69338461538461538</v>
      </c>
      <c r="S557" s="19">
        <v>64.83</v>
      </c>
      <c r="T557" s="20">
        <f>S557/$P557</f>
        <v>0.99738461538461531</v>
      </c>
      <c r="U557" s="19">
        <v>64.83</v>
      </c>
      <c r="V557" s="20">
        <f>U557/$P557</f>
        <v>0.99738461538461531</v>
      </c>
      <c r="W557" s="19">
        <v>64.83</v>
      </c>
      <c r="X557" s="20">
        <f>W557/$P557</f>
        <v>0.99738461538461531</v>
      </c>
      <c r="Y557" s="19">
        <v>0</v>
      </c>
      <c r="Z557" s="19">
        <v>0</v>
      </c>
    </row>
    <row r="558" spans="1:26" x14ac:dyDescent="0.25">
      <c r="A558" s="10">
        <v>9</v>
      </c>
      <c r="B558" s="10">
        <v>1</v>
      </c>
      <c r="D558" s="7"/>
      <c r="E558" s="18">
        <v>820</v>
      </c>
      <c r="F558" s="18" t="s">
        <v>304</v>
      </c>
      <c r="G558" s="19">
        <v>7015.94</v>
      </c>
      <c r="H558" s="19">
        <v>11205.58</v>
      </c>
      <c r="I558" s="19">
        <v>12054</v>
      </c>
      <c r="J558" s="19">
        <v>12054.31</v>
      </c>
      <c r="K558" s="19">
        <v>4219</v>
      </c>
      <c r="L558" s="19"/>
      <c r="M558" s="19"/>
      <c r="N558" s="19"/>
      <c r="O558" s="19"/>
      <c r="P558" s="19">
        <f>K558+SUM(L558:O558)</f>
        <v>4219</v>
      </c>
      <c r="Q558" s="19">
        <v>2096.81</v>
      </c>
      <c r="R558" s="20">
        <f>Q558/$P558</f>
        <v>0.49699217824128938</v>
      </c>
      <c r="S558" s="19">
        <v>4218.93</v>
      </c>
      <c r="T558" s="20">
        <f>S558/$P558</f>
        <v>0.99998340839061395</v>
      </c>
      <c r="U558" s="19">
        <v>4218.93</v>
      </c>
      <c r="V558" s="20">
        <f>U558/$P558</f>
        <v>0.99998340839061395</v>
      </c>
      <c r="W558" s="19">
        <v>4218.93</v>
      </c>
      <c r="X558" s="20">
        <f>W558/$P558</f>
        <v>0.99998340839061395</v>
      </c>
      <c r="Y558" s="19">
        <v>0</v>
      </c>
      <c r="Z558" s="19">
        <v>0</v>
      </c>
    </row>
    <row r="559" spans="1:26" x14ac:dyDescent="0.25">
      <c r="A559" s="10">
        <v>9</v>
      </c>
      <c r="B559" s="10">
        <v>1</v>
      </c>
      <c r="D559" s="69" t="s">
        <v>97</v>
      </c>
      <c r="E559" s="21">
        <v>41</v>
      </c>
      <c r="F559" s="21" t="s">
        <v>56</v>
      </c>
      <c r="G559" s="22">
        <f t="shared" ref="G559:Q559" si="200">SUM(G557:G558)</f>
        <v>8567.52</v>
      </c>
      <c r="H559" s="22">
        <f t="shared" si="200"/>
        <v>12858.03</v>
      </c>
      <c r="I559" s="22">
        <f t="shared" si="200"/>
        <v>12851</v>
      </c>
      <c r="J559" s="22">
        <f t="shared" si="200"/>
        <v>12851.279999999999</v>
      </c>
      <c r="K559" s="22">
        <f t="shared" si="200"/>
        <v>4284</v>
      </c>
      <c r="L559" s="22">
        <f t="shared" si="200"/>
        <v>0</v>
      </c>
      <c r="M559" s="22">
        <f t="shared" si="200"/>
        <v>0</v>
      </c>
      <c r="N559" s="22">
        <f t="shared" si="200"/>
        <v>0</v>
      </c>
      <c r="O559" s="22">
        <f t="shared" si="200"/>
        <v>0</v>
      </c>
      <c r="P559" s="22">
        <f t="shared" si="200"/>
        <v>4284</v>
      </c>
      <c r="Q559" s="22">
        <f t="shared" si="200"/>
        <v>2141.88</v>
      </c>
      <c r="R559" s="23">
        <f>Q559/$P559</f>
        <v>0.49997198879551824</v>
      </c>
      <c r="S559" s="22">
        <f>SUM(S557:S558)</f>
        <v>4283.76</v>
      </c>
      <c r="T559" s="23">
        <f>S559/$P559</f>
        <v>0.99994397759103648</v>
      </c>
      <c r="U559" s="22">
        <f>SUM(U557:U558)</f>
        <v>4283.76</v>
      </c>
      <c r="V559" s="23">
        <f>U559/$P559</f>
        <v>0.99994397759103648</v>
      </c>
      <c r="W559" s="22">
        <f>SUM(W557:W558)</f>
        <v>4283.76</v>
      </c>
      <c r="X559" s="23">
        <f>W559/$P559</f>
        <v>0.99994397759103648</v>
      </c>
      <c r="Y559" s="22">
        <f>SUM(Y557:Y558)</f>
        <v>0</v>
      </c>
      <c r="Z559" s="22">
        <f>SUM(Z557:Z558)</f>
        <v>0</v>
      </c>
    </row>
  </sheetData>
  <mergeCells count="65">
    <mergeCell ref="D516:D517"/>
    <mergeCell ref="D525:D527"/>
    <mergeCell ref="D531:D532"/>
    <mergeCell ref="D536:D540"/>
    <mergeCell ref="D557:D558"/>
    <mergeCell ref="D471:D477"/>
    <mergeCell ref="D485:D490"/>
    <mergeCell ref="D502:D503"/>
    <mergeCell ref="D507:D508"/>
    <mergeCell ref="D509:D514"/>
    <mergeCell ref="D434:D436"/>
    <mergeCell ref="D442:D444"/>
    <mergeCell ref="D449:D450"/>
    <mergeCell ref="D454:D459"/>
    <mergeCell ref="D468:D470"/>
    <mergeCell ref="D385:D386"/>
    <mergeCell ref="D391:D392"/>
    <mergeCell ref="D397:D399"/>
    <mergeCell ref="D401:D404"/>
    <mergeCell ref="D430:D432"/>
    <mergeCell ref="D291:D294"/>
    <mergeCell ref="D310:D313"/>
    <mergeCell ref="D333:D334"/>
    <mergeCell ref="D343:D345"/>
    <mergeCell ref="D366:D367"/>
    <mergeCell ref="D234:D235"/>
    <mergeCell ref="D240:D241"/>
    <mergeCell ref="D249:D250"/>
    <mergeCell ref="D271:D272"/>
    <mergeCell ref="D287:D289"/>
    <mergeCell ref="D159:D160"/>
    <mergeCell ref="D162:D165"/>
    <mergeCell ref="D176:D179"/>
    <mergeCell ref="D222:D223"/>
    <mergeCell ref="D228:D229"/>
    <mergeCell ref="D127:D128"/>
    <mergeCell ref="D133:D135"/>
    <mergeCell ref="D137:D140"/>
    <mergeCell ref="D146:D148"/>
    <mergeCell ref="D150:D153"/>
    <mergeCell ref="D105:Z105"/>
    <mergeCell ref="D109:D111"/>
    <mergeCell ref="D119:Z119"/>
    <mergeCell ref="D121:D122"/>
    <mergeCell ref="D125:Z125"/>
    <mergeCell ref="D78:D79"/>
    <mergeCell ref="D82:Z82"/>
    <mergeCell ref="D84:D86"/>
    <mergeCell ref="D88:D91"/>
    <mergeCell ref="D95:Z95"/>
    <mergeCell ref="D49:D51"/>
    <mergeCell ref="D54:Z54"/>
    <mergeCell ref="D64:Z64"/>
    <mergeCell ref="D66:D69"/>
    <mergeCell ref="D76:Z76"/>
    <mergeCell ref="D29:Z29"/>
    <mergeCell ref="D31:D34"/>
    <mergeCell ref="D39:Z39"/>
    <mergeCell ref="D41:D44"/>
    <mergeCell ref="D47:Z47"/>
    <mergeCell ref="D3:D14"/>
    <mergeCell ref="D17:Z17"/>
    <mergeCell ref="D19:D20"/>
    <mergeCell ref="D23:Z23"/>
    <mergeCell ref="D25:D26"/>
  </mergeCells>
  <pageMargins left="0.66944444444444395" right="0.66944444444444395" top="0.43888888888888899" bottom="0.43888888888888899" header="0.3" footer="0.3"/>
  <pageSetup paperSize="9" scale="72" firstPageNumber="0" orientation="portrait" horizontalDpi="300" verticalDpi="300"/>
  <headerFooter>
    <oddHeader>&amp;L&amp;"Arial,Normálne"&amp;10Čerpanie a plnenie rozpočtu 2016&amp;C&amp;"Arial,Normálne"&amp;10Obec Nesluša&amp;R&amp;"Arial,Normálne"&amp;10Stav k 31. 12. 2016</oddHeader>
    <oddFooter>&amp;L&amp;"Arial,Normálne"&amp;10Schválený: UOZ_VIII-13/2015, 28. 12. 2015&amp;R&amp;"Arial,Normálne"&amp;10Posledná úprava: UOZ_IV-4/2016, 16. 12. 2016</oddFooter>
  </headerFooter>
  <rowBreaks count="9" manualBreakCount="9">
    <brk id="124" max="16383" man="1"/>
    <brk id="168" max="16383" man="1"/>
    <brk id="191" max="16383" man="1"/>
    <brk id="219" max="16383" man="1"/>
    <brk id="297" max="16383" man="1"/>
    <brk id="371" max="16383" man="1"/>
    <brk id="382" max="16383" man="1"/>
    <brk id="439" max="16383" man="1"/>
    <brk id="549" max="16383" man="1"/>
  </row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9"/>
  <sheetViews>
    <sheetView zoomScaleNormal="100" workbookViewId="0"/>
  </sheetViews>
  <sheetFormatPr defaultRowHeight="15" x14ac:dyDescent="0.25"/>
  <cols>
    <col min="1" max="1" width="8.7109375" style="109" customWidth="1"/>
    <col min="2" max="2" width="17.5703125" style="109" customWidth="1"/>
    <col min="3" max="1025" width="8.5703125" style="109" customWidth="1"/>
  </cols>
  <sheetData>
    <row r="1" spans="1:2" x14ac:dyDescent="0.25">
      <c r="A1" s="109" t="s">
        <v>305</v>
      </c>
      <c r="B1" s="109" t="s">
        <v>306</v>
      </c>
    </row>
    <row r="2" spans="1:2" x14ac:dyDescent="0.25">
      <c r="A2" s="109" t="s">
        <v>1</v>
      </c>
      <c r="B2" s="109" t="s">
        <v>307</v>
      </c>
    </row>
    <row r="3" spans="1:2" x14ac:dyDescent="0.25">
      <c r="A3" s="109" t="s">
        <v>2</v>
      </c>
      <c r="B3" s="109" t="s">
        <v>308</v>
      </c>
    </row>
    <row r="4" spans="1:2" x14ac:dyDescent="0.25">
      <c r="A4" s="109" t="s">
        <v>3</v>
      </c>
      <c r="B4" s="109" t="s">
        <v>309</v>
      </c>
    </row>
    <row r="5" spans="1:2" x14ac:dyDescent="0.25">
      <c r="A5" s="109" t="s">
        <v>310</v>
      </c>
      <c r="B5" s="109" t="s">
        <v>311</v>
      </c>
    </row>
    <row r="6" spans="1:2" x14ac:dyDescent="0.25">
      <c r="A6" s="109" t="s">
        <v>5</v>
      </c>
      <c r="B6" s="109" t="s">
        <v>312</v>
      </c>
    </row>
    <row r="7" spans="1:2" x14ac:dyDescent="0.25">
      <c r="A7" s="109" t="s">
        <v>10</v>
      </c>
      <c r="B7" s="109" t="s">
        <v>313</v>
      </c>
    </row>
    <row r="8" spans="1:2" x14ac:dyDescent="0.25">
      <c r="A8" s="109" t="s">
        <v>19</v>
      </c>
      <c r="B8" s="109" t="s">
        <v>314</v>
      </c>
    </row>
    <row r="9" spans="1:2" x14ac:dyDescent="0.25">
      <c r="A9" s="109" t="s">
        <v>20</v>
      </c>
      <c r="B9" s="109" t="s">
        <v>315</v>
      </c>
    </row>
    <row r="10" spans="1:2" x14ac:dyDescent="0.25">
      <c r="A10" s="110" t="s">
        <v>316</v>
      </c>
      <c r="B10" s="110" t="s">
        <v>317</v>
      </c>
    </row>
    <row r="11" spans="1:2" x14ac:dyDescent="0.25">
      <c r="A11" s="110" t="s">
        <v>318</v>
      </c>
      <c r="B11" s="110" t="s">
        <v>319</v>
      </c>
    </row>
    <row r="12" spans="1:2" x14ac:dyDescent="0.25">
      <c r="A12" s="110" t="s">
        <v>320</v>
      </c>
      <c r="B12" s="110" t="s">
        <v>321</v>
      </c>
    </row>
    <row r="13" spans="1:2" x14ac:dyDescent="0.25">
      <c r="A13" s="110" t="s">
        <v>92</v>
      </c>
      <c r="B13" s="110" t="s">
        <v>322</v>
      </c>
    </row>
    <row r="14" spans="1:2" x14ac:dyDescent="0.25">
      <c r="A14" s="109" t="s">
        <v>34</v>
      </c>
      <c r="B14" s="109" t="s">
        <v>323</v>
      </c>
    </row>
    <row r="15" spans="1:2" x14ac:dyDescent="0.25">
      <c r="A15" s="110" t="s">
        <v>324</v>
      </c>
      <c r="B15" s="110" t="s">
        <v>197</v>
      </c>
    </row>
    <row r="16" spans="1:2" x14ac:dyDescent="0.25">
      <c r="A16" s="109" t="s">
        <v>33</v>
      </c>
      <c r="B16" s="109" t="s">
        <v>325</v>
      </c>
    </row>
    <row r="17" spans="1:2" x14ac:dyDescent="0.25">
      <c r="A17" s="110" t="s">
        <v>326</v>
      </c>
      <c r="B17" s="110" t="s">
        <v>327</v>
      </c>
    </row>
    <row r="18" spans="1:2" x14ac:dyDescent="0.25">
      <c r="A18" s="109" t="s">
        <v>328</v>
      </c>
      <c r="B18" s="109" t="s">
        <v>329</v>
      </c>
    </row>
    <row r="19" spans="1:2" x14ac:dyDescent="0.25">
      <c r="A19" s="110" t="s">
        <v>330</v>
      </c>
      <c r="B19" s="110" t="s">
        <v>331</v>
      </c>
    </row>
    <row r="20" spans="1:2" x14ac:dyDescent="0.25">
      <c r="A20" s="110" t="s">
        <v>332</v>
      </c>
      <c r="B20" s="110" t="s">
        <v>333</v>
      </c>
    </row>
    <row r="21" spans="1:2" x14ac:dyDescent="0.25">
      <c r="A21" s="109" t="s">
        <v>106</v>
      </c>
      <c r="B21" s="109" t="s">
        <v>334</v>
      </c>
    </row>
    <row r="22" spans="1:2" x14ac:dyDescent="0.25">
      <c r="A22" s="109" t="s">
        <v>107</v>
      </c>
      <c r="B22" s="109" t="s">
        <v>335</v>
      </c>
    </row>
    <row r="23" spans="1:2" x14ac:dyDescent="0.25">
      <c r="A23" s="109" t="s">
        <v>108</v>
      </c>
      <c r="B23" s="109" t="s">
        <v>336</v>
      </c>
    </row>
    <row r="24" spans="1:2" x14ac:dyDescent="0.25">
      <c r="A24" s="109" t="s">
        <v>54</v>
      </c>
      <c r="B24" s="110" t="s">
        <v>337</v>
      </c>
    </row>
    <row r="25" spans="1:2" x14ac:dyDescent="0.25">
      <c r="A25" s="110" t="s">
        <v>338</v>
      </c>
      <c r="B25" s="110" t="s">
        <v>339</v>
      </c>
    </row>
    <row r="26" spans="1:2" x14ac:dyDescent="0.25">
      <c r="A26" s="110" t="s">
        <v>340</v>
      </c>
      <c r="B26" s="110" t="s">
        <v>341</v>
      </c>
    </row>
    <row r="27" spans="1:2" x14ac:dyDescent="0.25">
      <c r="A27" s="110" t="s">
        <v>342</v>
      </c>
      <c r="B27" s="110" t="s">
        <v>343</v>
      </c>
    </row>
    <row r="28" spans="1:2" x14ac:dyDescent="0.25">
      <c r="A28" s="109" t="s">
        <v>344</v>
      </c>
      <c r="B28" s="110" t="s">
        <v>345</v>
      </c>
    </row>
    <row r="29" spans="1:2" x14ac:dyDescent="0.25">
      <c r="A29" s="110" t="s">
        <v>346</v>
      </c>
      <c r="B29" s="110" t="s">
        <v>347</v>
      </c>
    </row>
  </sheetData>
  <pageMargins left="0" right="0" top="0.13888888888888901" bottom="0.13888888888888901" header="0" footer="0"/>
  <pageSetup paperSize="9" orientation="portrait" useFirstPageNumber="1" horizontalDpi="300" verticalDpi="300"/>
  <headerFooter>
    <oddHeader>&amp;C&amp;"Arial,Normálne"&amp;10&amp;A</oddHeader>
    <oddFooter>&amp;C&amp;"Arial,Normálne"&amp;10Strana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2016 Obec Nesluša (čerpanie a úpravy)</dc:title>
  <dc:subject>Čerpanie a úpravy rozpočtu Obce Nesluša</dc:subject>
  <dc:creator>Matej Tabaček</dc:creator>
  <cp:keywords>rozpočet 2016 čerpanie úpravy obec Nesluša</cp:keywords>
  <dc:description>Schválený:
UOZ_VIII-13/2015 dňa 28. 12. 2015
Úpravy:
RO 1-1/2016 UOZ_M1-2/2016 dňa 25. 01. 2016
RO 1-2/2016 starostka dňa 25. 01. 2016
RO 2-1/2016 UOZ_I-12/2016 dňa 22. 04. 2016
RO 2-2/2016 starostka dňa 10. 05. 2016
RO 2-3/2016 UOZ_II-10/2016 dňa 30. 06. 2016
</dc:description>
  <cp:lastModifiedBy>Matej Tabaček</cp:lastModifiedBy>
  <cp:revision>47</cp:revision>
  <cp:lastPrinted>2015-12-09T14:51:54Z</cp:lastPrinted>
  <dcterms:created xsi:type="dcterms:W3CDTF">2015-11-25T12:06:27Z</dcterms:created>
  <dcterms:modified xsi:type="dcterms:W3CDTF">2017-05-31T05:12:09Z</dcterms:modified>
  <dc:language>sk-SK</dc:language>
</cp:coreProperties>
</file>