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<sst xmlns="http://schemas.openxmlformats.org/spreadsheetml/2006/main" count="2366" uniqueCount="383">
  <si>
    <t xml:space="preserve">SUMÁR PRÍJMOV</t>
  </si>
  <si>
    <t xml:space="preserve">2019 S</t>
  </si>
  <si>
    <t xml:space="preserve">2020 S</t>
  </si>
  <si>
    <t xml:space="preserve">2021 R</t>
  </si>
  <si>
    <t xml:space="preserve">2021 OS</t>
  </si>
  <si>
    <t xml:space="preserve">2022 R</t>
  </si>
  <si>
    <t xml:space="preserve">U1</t>
  </si>
  <si>
    <t xml:space="preserve">U2</t>
  </si>
  <si>
    <t xml:space="preserve">U3</t>
  </si>
  <si>
    <t xml:space="preserve">U4</t>
  </si>
  <si>
    <t xml:space="preserve">2022 U</t>
  </si>
  <si>
    <t xml:space="preserve">Č1</t>
  </si>
  <si>
    <t xml:space="preserve">P1</t>
  </si>
  <si>
    <t xml:space="preserve">Č2</t>
  </si>
  <si>
    <t xml:space="preserve">P2</t>
  </si>
  <si>
    <t xml:space="preserve">Č3</t>
  </si>
  <si>
    <t xml:space="preserve">P3</t>
  </si>
  <si>
    <t xml:space="preserve">Č4</t>
  </si>
  <si>
    <t xml:space="preserve">P4</t>
  </si>
  <si>
    <t xml:space="preserve">2023 R</t>
  </si>
  <si>
    <t xml:space="preserve">2024 R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</si>
  <si>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</si>
  <si>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</si>
  <si>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</si>
  <si>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</si>
  <si>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Ostatné príjmy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</si>
  <si>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</si>
  <si>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</si>
  <si>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</si>
  <si>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</si>
  <si>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</si>
  <si>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</si>
  <si>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</si>
  <si>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</si>
  <si>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</si>
  <si>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</si>
  <si>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</si>
  <si>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</si>
  <si>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</si>
  <si>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</si>
  <si>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</si>
  <si>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</si>
  <si>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</si>
  <si>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</si>
  <si>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</si>
  <si>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</si>
  <si>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</si>
  <si>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Štátne dotácie</t>
  </si>
  <si>
    <t xml:space="preserve">Nedaňové príjmy - rozpis</t>
  </si>
  <si>
    <t xml:space="preserve">PrN</t>
  </si>
  <si>
    <t xml:space="preserve">RO</t>
  </si>
  <si>
    <t xml:space="preserve">Príjmy ZŠ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</si>
  <si>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</si>
  <si>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</si>
  <si>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</si>
  <si>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</si>
  <si>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Iné nedaňové príjmy</t>
  </si>
  <si>
    <t xml:space="preserve">V tom:</t>
  </si>
  <si>
    <t xml:space="preserve">Prenájom majetku</t>
  </si>
  <si>
    <t xml:space="preserve">Správne poplatky</t>
  </si>
  <si>
    <t xml:space="preserve">Úrok z omeškania kompostéry</t>
  </si>
  <si>
    <t xml:space="preserve">Vodné</t>
  </si>
  <si>
    <t xml:space="preserve">Poplatky DOS</t>
  </si>
  <si>
    <t xml:space="preserve">Predaj dreva</t>
  </si>
  <si>
    <t xml:space="preserve">Prenájom hrobových miest</t>
  </si>
  <si>
    <t xml:space="preserve">Príspevok rodičov MŠ</t>
  </si>
  <si>
    <t xml:space="preserve">Príspevok CVČ</t>
  </si>
  <si>
    <t xml:space="preserve">Refundácia územný plán/elektrina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</si>
  <si>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</si>
  <si>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</si>
  <si>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</si>
  <si>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</si>
  <si>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</si>
  <si>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</si>
  <si>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</si>
  <si>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</si>
  <si>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</si>
  <si>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</si>
  <si>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</si>
  <si>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</si>
  <si>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</si>
  <si>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</si>
  <si>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Sčítanie 2021</t>
  </si>
  <si>
    <t xml:space="preserve">Voľby</t>
  </si>
  <si>
    <t xml:space="preserve">DOS</t>
  </si>
  <si>
    <t xml:space="preserve">Regionálny rozvoj ESF</t>
  </si>
  <si>
    <t xml:space="preserve">Podpora zamestnanosti MŠ ESF</t>
  </si>
  <si>
    <t xml:space="preserve">Zberný dvor – externý manažment</t>
  </si>
  <si>
    <t xml:space="preserve">Zateplenie škôlky – externý manažment</t>
  </si>
  <si>
    <t xml:space="preserve">Kompostéry – externý manažment</t>
  </si>
  <si>
    <t xml:space="preserve">Ubytovanie utečenci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</si>
  <si>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</si>
  <si>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</si>
  <si>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</si>
  <si>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</si>
  <si>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</si>
  <si>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Civilná obrana</t>
  </si>
  <si>
    <t xml:space="preserve">Zberný dvor</t>
  </si>
  <si>
    <t xml:space="preserve">Zateplenie škôlky</t>
  </si>
  <si>
    <t xml:space="preserve">Kompostéry</t>
  </si>
  <si>
    <t xml:space="preserve">ZŠ vodozádržné opatrenia</t>
  </si>
  <si>
    <t xml:space="preserve">ZŠ kotolňa</t>
  </si>
  <si>
    <t xml:space="preserve">Vodozádržné obecný úrad</t>
  </si>
  <si>
    <t xml:space="preserve">Erasmus (RO)</t>
  </si>
  <si>
    <t xml:space="preserve">Zdroj kytia</t>
  </si>
  <si>
    <t xml:space="preserve">Granty</t>
  </si>
  <si>
    <t xml:space="preserve">Granty (RO)</t>
  </si>
  <si>
    <t xml:space="preserve">PRÍJMOVÉ FINANČNÉ OPERÁCIE</t>
  </si>
  <si>
    <t xml:space="preserve">Nevyčerpané dotácie</t>
  </si>
  <si>
    <t xml:space="preserve">Zostatky</t>
  </si>
  <si>
    <t xml:space="preserve">Rezervný fond</t>
  </si>
  <si>
    <t xml:space="preserve">Prijaté zábezpeky</t>
  </si>
  <si>
    <t xml:space="preserve">Dotácie (RO)</t>
  </si>
  <si>
    <t xml:space="preserve">Iné zdroje (RO)</t>
  </si>
  <si>
    <t xml:space="preserve">Stravné (RO)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</si>
  <si>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</si>
  <si>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</si>
  <si>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</si>
  <si>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</si>
  <si>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</si>
  <si>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</si>
  <si>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</si>
  <si>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</si>
  <si>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</si>
  <si>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</si>
  <si>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</si>
  <si>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</si>
  <si>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</si>
  <si>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</si>
  <si>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</si>
  <si>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</si>
  <si>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</si>
  <si>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</si>
  <si>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</si>
  <si>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</si>
  <si>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</si>
  <si>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1AC</t>
  </si>
  <si>
    <t xml:space="preserve">Bankové poplatky</t>
  </si>
  <si>
    <t xml:space="preserve">Poštovné</t>
  </si>
  <si>
    <t xml:space="preserve">Právne služby</t>
  </si>
  <si>
    <t xml:space="preserve">Softvér (URBIS)</t>
  </si>
  <si>
    <t xml:space="preserve">Služby ESMAO</t>
  </si>
  <si>
    <t xml:space="preserve">Nábytok OcÚ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</si>
  <si>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</si>
  <si>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</si>
  <si>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</si>
  <si>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</si>
  <si>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</si>
  <si>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</si>
  <si>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Poistenie automobilov</t>
  </si>
  <si>
    <t xml:space="preserve">Servis automobilov a strojov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</si>
  <si>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</si>
  <si>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</si>
  <si>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</si>
  <si>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</si>
  <si>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</si>
  <si>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</si>
  <si>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</si>
  <si>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</si>
  <si>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</si>
  <si>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</si>
  <si>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</si>
  <si>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</si>
  <si>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</si>
  <si>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Ťažba, výsadba</t>
  </si>
  <si>
    <t xml:space="preserve">Geomterické plány</t>
  </si>
  <si>
    <t xml:space="preserve">Revízie zariadení</t>
  </si>
  <si>
    <t xml:space="preserve">Podprogram 1.4 Voľby/SODB 2021</t>
  </si>
  <si>
    <t xml:space="preserve">01.6.0</t>
  </si>
  <si>
    <t xml:space="preserve">PROGRAM 2 - ŠKOLSTVO</t>
  </si>
  <si>
    <t xml:space="preserve">Podprogram 2.1 Základná škola s materskou školou</t>
  </si>
  <si>
    <t xml:space="preserve">09.2.x</t>
  </si>
  <si>
    <t xml:space="preserve">3AB</t>
  </si>
  <si>
    <t xml:space="preserve">09.x</t>
  </si>
  <si>
    <t xml:space="preserve">09.1.x</t>
  </si>
  <si>
    <t xml:space="preserve">09.5.x</t>
  </si>
  <si>
    <t xml:space="preserve">09.6.x</t>
  </si>
  <si>
    <t xml:space="preserve">Originálne kompetencie</t>
  </si>
  <si>
    <t xml:space="preserve">Elektrina MŠ</t>
  </si>
  <si>
    <t xml:space="preserve">Plyn MŠ</t>
  </si>
  <si>
    <t xml:space="preserve">Elektrina ŠJ</t>
  </si>
  <si>
    <t xml:space="preserve">Plyn ŠJ</t>
  </si>
  <si>
    <t xml:space="preserve">Dotácia cirkevné CVČ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</si>
  <si>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</si>
  <si>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</si>
  <si>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</si>
  <si>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</si>
  <si>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Rozbor vody</t>
  </si>
  <si>
    <t xml:space="preserve">Prevádzkovanie vodovodu</t>
  </si>
  <si>
    <t xml:space="preserve">Odber podzemnej vody</t>
  </si>
  <si>
    <t xml:space="preserve">Monitoring potrubia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</si>
  <si>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</si>
  <si>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</si>
  <si>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</si>
  <si>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</si>
  <si>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Podprogram 4.3 Zberný dvor</t>
  </si>
  <si>
    <t xml:space="preserve">Poistenie budovy a techniky</t>
  </si>
  <si>
    <t xml:space="preserve">Údržba dopravných prostriedkov a strojov</t>
  </si>
  <si>
    <t xml:space="preserve">Vrátenie dotácie – porušenie zmluvy</t>
  </si>
  <si>
    <t xml:space="preserve">Externý manažment výstavby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</si>
  <si>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</si>
  <si>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</si>
  <si>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</si>
  <si>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</si>
  <si>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Prvok 5.1.2 Civilná obrana</t>
  </si>
  <si>
    <t xml:space="preserve">02.2.0</t>
  </si>
  <si>
    <t xml:space="preserve">Snehová kalamita/COVID-19</t>
  </si>
  <si>
    <t xml:space="preserve">Prvok 5.1.3 Verejné osvetlenie</t>
  </si>
  <si>
    <t xml:space="preserve">06.4.0</t>
  </si>
  <si>
    <t xml:space="preserve">Dohoda údržbár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</si>
  <si>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</si>
  <si>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</si>
  <si>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</si>
  <si>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</si>
  <si>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</si>
  <si>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</si>
  <si>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</si>
  <si>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Dopravné značenie</t>
  </si>
  <si>
    <t xml:space="preserve">Kanály</t>
  </si>
  <si>
    <t xml:space="preserve">Prvok 5.2.2 Verejné priestranstvá</t>
  </si>
  <si>
    <t xml:space="preserve">06.2.0</t>
  </si>
  <si>
    <t xml:space="preserve">Elektrina centrum</t>
  </si>
  <si>
    <t xml:space="preserve">Prvok 5.2.3 Regionálny rozvoj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</si>
  <si>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</si>
  <si>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</si>
  <si>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</si>
  <si>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</si>
  <si>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</si>
  <si>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131I</t>
  </si>
  <si>
    <t xml:space="preserve">Prvok 6.1.2 Ostatné športové kluby</t>
  </si>
  <si>
    <t xml:space="preserve">Šachový klub</t>
  </si>
  <si>
    <t xml:space="preserve">Stolný tenis</t>
  </si>
  <si>
    <t xml:space="preserve">OZ Bajk Relax Kysuce</t>
  </si>
  <si>
    <t xml:space="preserve">Škola vzpierania</t>
  </si>
  <si>
    <t xml:space="preserve">Podprogram 6.2 Kultúra</t>
  </si>
  <si>
    <t xml:space="preserve">Prvok 6.2.1 Kultúrny dom</t>
  </si>
  <si>
    <t xml:space="preserve">08.2.0</t>
  </si>
  <si>
    <t xml:space="preserve">Obnova stolov</t>
  </si>
  <si>
    <t xml:space="preserve">Stoličky</t>
  </si>
  <si>
    <t xml:space="preserve">Dohoda správca</t>
  </si>
  <si>
    <t xml:space="preserve">Prvok 6.2.2 Kultúrne akcie</t>
  </si>
  <si>
    <t xml:space="preserve">Rocknes</t>
  </si>
  <si>
    <t xml:space="preserve">Letné kino, vianočné trhy</t>
  </si>
  <si>
    <t xml:space="preserve">Deň obce/kultúrne soboty</t>
  </si>
  <si>
    <t xml:space="preserve">Hody a iné podujatia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</si>
  <si>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</si>
  <si>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</si>
  <si>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</si>
  <si>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</si>
  <si>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</t>
  </si>
  <si>
    <t xml:space="preserve">Údržba domu smútku a okolia</t>
  </si>
  <si>
    <t xml:space="preserve">Dohoda správca cintorína</t>
  </si>
  <si>
    <t xml:space="preserve">Prvok 6.3.2 Náboženské a spoločenské spolky a združenia</t>
  </si>
  <si>
    <t xml:space="preserve">SO SZTP a ZPCCH</t>
  </si>
  <si>
    <t xml:space="preserve">Červený kríž</t>
  </si>
  <si>
    <t xml:space="preserve">Priatelia Kysúc</t>
  </si>
  <si>
    <t xml:space="preserve">Jednota dôchodcov</t>
  </si>
  <si>
    <t xml:space="preserve">Zväz včelárov KNM</t>
  </si>
  <si>
    <t xml:space="preserve">Cyklotrasa KNM-Žilina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</si>
  <si>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</si>
  <si>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</si>
  <si>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</si>
  <si>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</si>
  <si>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Stravné obyvatelia</t>
  </si>
  <si>
    <t xml:space="preserve">Odstupné, odchodné, náhrada mzdy</t>
  </si>
  <si>
    <t xml:space="preserve">Vratka dotácie – neobsadené miesta</t>
  </si>
  <si>
    <t xml:space="preserve">Prvok 7.1.2 Starostlivosť o starých občanov</t>
  </si>
  <si>
    <t xml:space="preserve">Stravovanie</t>
  </si>
  <si>
    <t xml:space="preserve">Jubilanti, úcta k starším</t>
  </si>
  <si>
    <t xml:space="preserve">Podprogram 7.2 Rodina a hmotná núdza</t>
  </si>
  <si>
    <t xml:space="preserve">10.4.0</t>
  </si>
  <si>
    <t xml:space="preserve">10.7.0</t>
  </si>
  <si>
    <t xml:space="preserve">Príspevok pri narodení dieťaťa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</si>
  <si>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</si>
  <si>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</si>
  <si>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</si>
  <si>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</si>
  <si>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</si>
  <si>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r>
      <rPr>
        <sz val="10"/>
        <color rgb="FF000000"/>
        <rFont val="Arial"/>
        <family val="2"/>
      </rPr>
      <t xml:space="preserve">- 1. nadzemné podlažie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kancelárie</t>
    </r>
    <r>
      <rPr>
        <b val="true"/>
        <sz val="10"/>
        <color rgb="FF000000"/>
        <rFont val="Arial"/>
        <family val="2"/>
      </rPr>
      <t xml:space="preserve">)</t>
    </r>
  </si>
  <si>
    <t xml:space="preserve">- garáž (budova)</t>
  </si>
  <si>
    <t xml:space="preserve">Nákup strojov – radlica</t>
  </si>
  <si>
    <t xml:space="preserve">Kúpa pozemku</t>
  </si>
  <si>
    <t xml:space="preserve">08.3.0-710</t>
  </si>
  <si>
    <t xml:space="preserve">Rekonštrukcia miestneho rozhlasu</t>
  </si>
  <si>
    <t xml:space="preserve">Podprogram 8.2 Školstvo</t>
  </si>
  <si>
    <t xml:space="preserve">09.x-710</t>
  </si>
  <si>
    <t xml:space="preserve">MŠ - zateplenie</t>
  </si>
  <si>
    <t xml:space="preserve">09.1.1.1-710</t>
  </si>
  <si>
    <t xml:space="preserve">ZŠ – vodozádržné opatrenia</t>
  </si>
  <si>
    <t xml:space="preserve">ZŠ – rekonštrukcia kotolne</t>
  </si>
  <si>
    <t xml:space="preserve">ZŠ – strecha CVČ</t>
  </si>
  <si>
    <t xml:space="preserve">ZŠ – rekonštrukcia strechy a zateplenie steny</t>
  </si>
  <si>
    <t xml:space="preserve">ZŠ – vybavenie školskej jedálne</t>
  </si>
  <si>
    <t xml:space="preserve">Podprogram 8.3 Voda</t>
  </si>
  <si>
    <t xml:space="preserve">06.3.0-710</t>
  </si>
  <si>
    <t xml:space="preserve">Projekty úpravovní vody</t>
  </si>
  <si>
    <t xml:space="preserve">Projekt rekonštrukcie starej vodovodnej siete</t>
  </si>
  <si>
    <t xml:space="preserve">Rekonštrukcia vodovodu</t>
  </si>
  <si>
    <t xml:space="preserve">Rekonštrukcia vodojemov</t>
  </si>
  <si>
    <t xml:space="preserve">Podprogram 8.4 Odpadové hospodárstvo a životné prostredie</t>
  </si>
  <si>
    <t xml:space="preserve">05.1.0-710</t>
  </si>
  <si>
    <t xml:space="preserve">Zberný dvor – kamery, alarm</t>
  </si>
  <si>
    <t xml:space="preserve">Náradie</t>
  </si>
  <si>
    <t xml:space="preserve">Kompostéry do domácností</t>
  </si>
  <si>
    <t xml:space="preserve">Podprogram 8.5 Prostredie pre život</t>
  </si>
  <si>
    <t xml:space="preserve">04.5.1-710</t>
  </si>
  <si>
    <t xml:space="preserve">Asfaltovanie miestnych komunikácií</t>
  </si>
  <si>
    <t xml:space="preserve">06.2.0-710</t>
  </si>
  <si>
    <t xml:space="preserve">Centrum obce</t>
  </si>
  <si>
    <t xml:space="preserve">Regulácia potoka – projekt, obstarávanie</t>
  </si>
  <si>
    <t xml:space="preserve">Regulácia potoka – realizácia</t>
  </si>
  <si>
    <t xml:space="preserve">Vodozádržné opatrenia pri obecnom úrade</t>
  </si>
  <si>
    <t xml:space="preserve">06.4.0-710</t>
  </si>
  <si>
    <t xml:space="preserve">Verejné osvetlenie – projekt/realizácia</t>
  </si>
  <si>
    <t xml:space="preserve">03.6.0-710</t>
  </si>
  <si>
    <t xml:space="preserve">Kamerový systém</t>
  </si>
  <si>
    <t xml:space="preserve">Podprogram 8.6 Šport, kultúra a iné spoločenské služby</t>
  </si>
  <si>
    <t xml:space="preserve">08.1.0-710</t>
  </si>
  <si>
    <t xml:space="preserve">Rekonštrukcia tribúny/lavičky</t>
  </si>
  <si>
    <t xml:space="preserve">Vysporiadanie pozemku pod ihriskom</t>
  </si>
  <si>
    <t xml:space="preserve">08.4.0-710</t>
  </si>
  <si>
    <t xml:space="preserve">Urnová stena</t>
  </si>
  <si>
    <t xml:space="preserve">Oplotenie areálu cintorína</t>
  </si>
  <si>
    <t xml:space="preserve">Chladiarensky katafalk</t>
  </si>
  <si>
    <t xml:space="preserve">Podprogram 8.7 Solidarita</t>
  </si>
  <si>
    <t xml:space="preserve">10.2.0-710</t>
  </si>
  <si>
    <t xml:space="preserve">DOS – zateplenie</t>
  </si>
  <si>
    <t xml:space="preserve">Oplotenie a odvodnenie pozemku</t>
  </si>
  <si>
    <t xml:space="preserve">Vytvorenie stacionárnej izby pre ležiacich</t>
  </si>
  <si>
    <t xml:space="preserve">Podprogram 8.8 Plánovanie</t>
  </si>
  <si>
    <t xml:space="preserve">04.4.3-710</t>
  </si>
  <si>
    <t xml:space="preserve">Dodatok k územnému plánu</t>
  </si>
  <si>
    <t xml:space="preserve">PROGRAM 9 - VYROVNANIE DLHU</t>
  </si>
  <si>
    <t xml:space="preserve">Podprogram 9.1 Splácanie úverov a prijatých zábezpek</t>
  </si>
  <si>
    <t xml:space="preserve">Splácanie úrokov</t>
  </si>
  <si>
    <t xml:space="preserve">Splácanie istiny</t>
  </si>
  <si>
    <t xml:space="preserve">Iné výdavkové operácie</t>
  </si>
  <si>
    <t xml:space="preserve">#</t>
  </si>
  <si>
    <t xml:space="preserve">číslo štvrťroku</t>
  </si>
  <si>
    <t xml:space="preserve">Skutočnosť v roku 2019</t>
  </si>
  <si>
    <t xml:space="preserve">Skutočnosť v roku 2020</t>
  </si>
  <si>
    <t xml:space="preserve">Schválený rozpočet na rok 2021</t>
  </si>
  <si>
    <t xml:space="preserve">Odhad skutočnosti na rok 2021</t>
  </si>
  <si>
    <t xml:space="preserve">Rozpočet na rok 2022</t>
  </si>
  <si>
    <t xml:space="preserve">Rozpočet na rok 2023</t>
  </si>
  <si>
    <t xml:space="preserve">Rozpočet na rok 2024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</si>
  <si>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</si>
  <si>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</si>
  <si>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</si>
  <si>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</si>
  <si>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DCOM</t>
  </si>
  <si>
    <t xml:space="preserve">Dátové centrum obcí a miest (e-gov)</t>
  </si>
  <si>
    <t xml:space="preserve">Dom opatrovateľskej služby</t>
  </si>
  <si>
    <t xml:space="preserve">ekonomická klasifikácia</t>
  </si>
  <si>
    <t xml:space="preserve">ESF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</si>
  <si>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</si>
  <si>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</si>
  <si>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</si>
  <si>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</si>
  <si>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</si>
  <si>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</si>
  <si>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</si>
  <si>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</si>
  <si>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</si>
  <si>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</si>
  <si>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</si>
  <si>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</si>
  <si>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</si>
  <si>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Spojená organizácia Slovenského zväzu telesne postihnutých a Zväzu postihnutých civilizačnými chorobami</t>
  </si>
  <si>
    <t xml:space="preserve">SODB</t>
  </si>
  <si>
    <t xml:space="preserve">sčítanie obyvateľov, domov a bytov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</si>
  <si>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</si>
  <si>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</si>
  <si>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</si>
  <si>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</si>
  <si>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</si>
  <si>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</si>
  <si>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ÚPSVaR</t>
  </si>
  <si>
    <t xml:space="preserve">Úrad práce, sociálnych vecí a rodiny Žilina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</si>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</sst>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1B];[RED]\-#,##0.00\ [$€-41B]"/>
    <numFmt numFmtId="166" formatCode="0\ %"/>
    <numFmt numFmtId="167" formatCode="#,##0.00"/>
    <numFmt numFmtId="168" formatCode="d/m/yyyy"/>
    <numFmt numFmtId="169" formatCode="dd/mm/yyyy"/>
    <numFmt numFmtId="170" formatCode="0.00\ %"/>
  </numFmts>
  <fonts count="9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0"/>
    </font>
    <font>
      <sz val="11"/>
      <color rgb="FF00000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i val="true"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6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6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ýsledok2" xfId="20"/>
    <cellStyle name="Normálne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L147"/>
  <sheetViews>
    <sheetView showFormulas="false" showGridLines="true" showRowColHeaders="true" showZeros="true" rightToLeft="false" tabSelected="true" showOutlineSymbols="true" defaultGridColor="false" view="normal" topLeftCell="A1" colorId="22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1" activeCellId="0" sqref="A1"/>
    </sheetView>
  </sheetViews>
  <sheetFormatPr defaultColWidth="11.53515625" defaultRowHeight="13.9" zeroHeight="false" outlineLevelRow="0" outlineLevelCol="0"/>
  <cols>
    <col collapsed="false" customWidth="true" hidden="false" outlineLevel="0" max="1" min="1" style="1" width="11.62"/>
    <col collapsed="false" customWidth="true" hidden="false" outlineLevel="0" max="2" min="2" style="1" width="8.65"/>
    <col collapsed="false" customWidth="true" hidden="false" outlineLevel="0" max="3" min="3" style="1" width="18.11"/>
    <col collapsed="false" customWidth="true" hidden="true" outlineLevel="0" max="5" min="4" style="1" width="11.24"/>
    <col collapsed="false" customWidth="true" hidden="true" outlineLevel="0" max="7" min="6" style="1" width="10.98"/>
    <col collapsed="false" customWidth="true" hidden="false" outlineLevel="0" max="8" min="8" style="1" width="10.98"/>
    <col collapsed="false" customWidth="true" hidden="true" outlineLevel="0" max="12" min="9" style="1" width="10.98"/>
    <col collapsed="false" customWidth="true" hidden="false" outlineLevel="0" max="14" min="13" style="1" width="10.98"/>
    <col collapsed="false" customWidth="true" hidden="false" outlineLevel="0" max="15" min="15" style="2" width="5.47"/>
    <col collapsed="false" customWidth="true" hidden="false" outlineLevel="0" max="16" min="16" style="1" width="10.98"/>
    <col collapsed="false" customWidth="true" hidden="false" outlineLevel="0" max="17" min="17" style="1" width="5.47"/>
    <col collapsed="false" customWidth="true" hidden="false" outlineLevel="0" max="18" min="18" style="1" width="10.98"/>
    <col collapsed="false" customWidth="true" hidden="false" outlineLevel="0" max="19" min="19" style="1" width="5.47"/>
    <col collapsed="false" customWidth="true" hidden="false" outlineLevel="0" max="20" min="20" style="1" width="10.98"/>
    <col collapsed="false" customWidth="true" hidden="false" outlineLevel="0" max="21" min="21" style="1" width="5.47"/>
    <col collapsed="false" customWidth="true" hidden="true" outlineLevel="0" max="23" min="22" style="1" width="11.24"/>
    <col collapsed="false" customWidth="true" hidden="false" outlineLevel="0" max="64" min="24" style="1" width="8.65"/>
  </cols>
  <sheetData>
    <row r="1" customFormat="false" ht="13.9" hidden="false" customHeight="tru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4"/>
      <c r="T1" s="4"/>
      <c r="U1" s="4"/>
      <c r="V1" s="4"/>
      <c r="W1" s="4"/>
    </row>
    <row r="2" customFormat="false" ht="13.9" hidden="false" customHeight="true" outlineLevel="0" collapsed="false">
      <c r="A2" s="6"/>
      <c r="B2" s="6"/>
      <c r="C2" s="6"/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7" t="s">
        <v>13</v>
      </c>
      <c r="Q2" s="8" t="s">
        <v>14</v>
      </c>
      <c r="R2" s="7" t="s">
        <v>15</v>
      </c>
      <c r="S2" s="8" t="s">
        <v>16</v>
      </c>
      <c r="T2" s="7" t="s">
        <v>17</v>
      </c>
      <c r="U2" s="8" t="s">
        <v>18</v>
      </c>
      <c r="V2" s="7" t="s">
        <v>19</v>
      </c>
      <c r="W2" s="7" t="s">
        <v>20</v>
      </c>
    </row>
    <row r="3" customFormat="false" ht="13.9" hidden="false" customHeight="true" outlineLevel="0" collapsed="false">
      <c r="A3" s="9" t="s">
        <v>21</v>
      </c>
      <c r="B3" s="10" t="n">
        <v>111</v>
      </c>
      <c r="C3" s="10" t="s">
        <v>22</v>
      </c>
      <c r="D3" s="11" t="n">
        <f aca="false">D44+D82-D8</f>
        <v>618124.85</v>
      </c>
      <c r="E3" s="11" t="n">
        <f aca="false">E44+E82-E8</f>
        <v>712932.7</v>
      </c>
      <c r="F3" s="11" t="n">
        <f aca="false">F44+F82-F8</f>
        <v>667258</v>
      </c>
      <c r="G3" s="11" t="n">
        <f aca="false">G44+G82-G8</f>
        <v>728157.39</v>
      </c>
      <c r="H3" s="11" t="n">
        <f aca="false">H44+H82-H8</f>
        <v>630710</v>
      </c>
      <c r="I3" s="11" t="n">
        <f aca="false">I44+I82-I8</f>
        <v>12493</v>
      </c>
      <c r="J3" s="11" t="n">
        <f aca="false">J44+J82-J8</f>
        <v>31536</v>
      </c>
      <c r="K3" s="11" t="n">
        <f aca="false">K44+K82-K8</f>
        <v>52585</v>
      </c>
      <c r="L3" s="11" t="n">
        <f aca="false">L44+L82-L8</f>
        <v>39467</v>
      </c>
      <c r="M3" s="11" t="n">
        <f aca="false">M44+M82-M8</f>
        <v>766791</v>
      </c>
      <c r="N3" s="11" t="n">
        <f aca="false">N44+N82-N8</f>
        <v>178277.47</v>
      </c>
      <c r="O3" s="12" t="n">
        <f aca="false">N3/$M3</f>
        <v>0.232498125304027</v>
      </c>
      <c r="P3" s="11" t="n">
        <f aca="false">P44+P82-P8</f>
        <v>358816.09</v>
      </c>
      <c r="Q3" s="12" t="n">
        <f aca="false">P3/$M3</f>
        <v>0.467945098468814</v>
      </c>
      <c r="R3" s="11" t="n">
        <f aca="false">R44+R82-R8</f>
        <v>537402.21</v>
      </c>
      <c r="S3" s="12" t="n">
        <f aca="false">R3/$M3</f>
        <v>0.700845745450846</v>
      </c>
      <c r="T3" s="11" t="n">
        <f aca="false">T44+T82-T8</f>
        <v>762955.45</v>
      </c>
      <c r="U3" s="12" t="n">
        <f aca="false">T3/$M3</f>
        <v>0.994997919902555</v>
      </c>
      <c r="V3" s="11" t="n">
        <f aca="false">V44+V82-V8</f>
        <v>634763</v>
      </c>
      <c r="W3" s="11" t="n">
        <f aca="false">W44+W82-W8</f>
        <v>640842</v>
      </c>
    </row>
    <row r="4" customFormat="false" ht="13.9" hidden="false" customHeight="true" outlineLevel="0" collapsed="false">
      <c r="A4" s="9"/>
      <c r="B4" s="10" t="n">
        <v>41</v>
      </c>
      <c r="C4" s="10" t="s">
        <v>23</v>
      </c>
      <c r="D4" s="11" t="n">
        <f aca="false">D26+D45-D9</f>
        <v>1320066.84</v>
      </c>
      <c r="E4" s="11" t="n">
        <f aca="false">E26+E45-E9</f>
        <v>1304362.7</v>
      </c>
      <c r="F4" s="11" t="n">
        <f aca="false">F26+F45-F9</f>
        <v>1298934</v>
      </c>
      <c r="G4" s="11" t="n">
        <f aca="false">G26+G45-G9</f>
        <v>1347411.21</v>
      </c>
      <c r="H4" s="11" t="n">
        <f aca="false">H26+H45-H9</f>
        <v>1389068</v>
      </c>
      <c r="I4" s="11" t="n">
        <f aca="false">I26+I45-I9</f>
        <v>7291</v>
      </c>
      <c r="J4" s="11" t="n">
        <f aca="false">J26+J45-J9</f>
        <v>1000</v>
      </c>
      <c r="K4" s="11" t="n">
        <f aca="false">K26+K45-K9</f>
        <v>0</v>
      </c>
      <c r="L4" s="11" t="n">
        <f aca="false">L26+L45-L9</f>
        <v>844</v>
      </c>
      <c r="M4" s="11" t="n">
        <f aca="false">M26+M45-M9</f>
        <v>1398203</v>
      </c>
      <c r="N4" s="11" t="n">
        <f aca="false">N26+N45-N9</f>
        <v>404341.73</v>
      </c>
      <c r="O4" s="12" t="n">
        <f aca="false">N4/$M4</f>
        <v>0.289186713231197</v>
      </c>
      <c r="P4" s="11" t="n">
        <f aca="false">P26+P45-P9</f>
        <v>699940.01</v>
      </c>
      <c r="Q4" s="12" t="n">
        <f aca="false">P4/$M4</f>
        <v>0.500599705479104</v>
      </c>
      <c r="R4" s="11" t="n">
        <f aca="false">R26+R45-R9</f>
        <v>1081972.41</v>
      </c>
      <c r="S4" s="12" t="n">
        <f aca="false">R4/$M4</f>
        <v>0.773830702694816</v>
      </c>
      <c r="T4" s="11" t="n">
        <f aca="false">T26+T45-T9</f>
        <v>1464687.73</v>
      </c>
      <c r="U4" s="12" t="n">
        <f aca="false">T4/$M4</f>
        <v>1.04755012684138</v>
      </c>
      <c r="V4" s="11" t="n">
        <f aca="false">V26+V45-V9</f>
        <v>1486862</v>
      </c>
      <c r="W4" s="11" t="n">
        <f aca="false">W26+W45-W9</f>
        <v>1574815</v>
      </c>
    </row>
    <row r="5" customFormat="false" ht="13.9" hidden="false" customHeight="true" outlineLevel="0" collapsed="false">
      <c r="A5" s="9"/>
      <c r="B5" s="10" t="n">
        <v>71</v>
      </c>
      <c r="C5" s="10" t="s">
        <v>24</v>
      </c>
      <c r="D5" s="11" t="n">
        <f aca="false">D46+D83</f>
        <v>1400</v>
      </c>
      <c r="E5" s="11" t="n">
        <f aca="false">E46+E83</f>
        <v>1400</v>
      </c>
      <c r="F5" s="11" t="n">
        <f aca="false">F46+F83</f>
        <v>3000</v>
      </c>
      <c r="G5" s="11" t="n">
        <f aca="false">G46+G83</f>
        <v>3000</v>
      </c>
      <c r="H5" s="11" t="n">
        <f aca="false">H46+H83</f>
        <v>3000</v>
      </c>
      <c r="I5" s="11" t="n">
        <f aca="false">I46+I83</f>
        <v>0</v>
      </c>
      <c r="J5" s="11" t="n">
        <f aca="false">J46+J83</f>
        <v>0</v>
      </c>
      <c r="K5" s="11" t="n">
        <f aca="false">K46+K83</f>
        <v>700</v>
      </c>
      <c r="L5" s="11" t="n">
        <f aca="false">L46+L83</f>
        <v>0</v>
      </c>
      <c r="M5" s="11" t="n">
        <f aca="false">M46+M83</f>
        <v>3700</v>
      </c>
      <c r="N5" s="11" t="n">
        <f aca="false">N46+N83</f>
        <v>0</v>
      </c>
      <c r="O5" s="12" t="n">
        <f aca="false">N5/$M5</f>
        <v>0</v>
      </c>
      <c r="P5" s="11" t="n">
        <f aca="false">P46+P83</f>
        <v>3000</v>
      </c>
      <c r="Q5" s="12" t="n">
        <f aca="false">P5/$M5</f>
        <v>0.810810810810811</v>
      </c>
      <c r="R5" s="11" t="n">
        <f aca="false">R46+R83</f>
        <v>3700</v>
      </c>
      <c r="S5" s="12" t="n">
        <f aca="false">R5/$M5</f>
        <v>1</v>
      </c>
      <c r="T5" s="11" t="n">
        <f aca="false">T46+T83</f>
        <v>3700</v>
      </c>
      <c r="U5" s="12" t="n">
        <f aca="false">T5/$M5</f>
        <v>1</v>
      </c>
      <c r="V5" s="11" t="n">
        <f aca="false">V46+V83</f>
        <v>3000</v>
      </c>
      <c r="W5" s="11" t="n">
        <f aca="false">W46+W83</f>
        <v>3000</v>
      </c>
    </row>
    <row r="6" customFormat="false" ht="13.9" hidden="false" customHeight="true" outlineLevel="0" collapsed="false">
      <c r="A6" s="9"/>
      <c r="B6" s="10" t="n">
        <v>72</v>
      </c>
      <c r="C6" s="10" t="s">
        <v>25</v>
      </c>
      <c r="D6" s="11" t="n">
        <f aca="false">D47+D84</f>
        <v>58656.99</v>
      </c>
      <c r="E6" s="11" t="n">
        <f aca="false">E47+E84</f>
        <v>44096.48</v>
      </c>
      <c r="F6" s="11" t="n">
        <f aca="false">F47+F84</f>
        <v>41921</v>
      </c>
      <c r="G6" s="11" t="n">
        <f aca="false">G47+G84</f>
        <v>42900</v>
      </c>
      <c r="H6" s="11" t="n">
        <f aca="false">H47+H84</f>
        <v>105940</v>
      </c>
      <c r="I6" s="11" t="n">
        <f aca="false">I47+I84</f>
        <v>0</v>
      </c>
      <c r="J6" s="11" t="n">
        <f aca="false">J47+J84</f>
        <v>765</v>
      </c>
      <c r="K6" s="11" t="n">
        <f aca="false">K47+K84</f>
        <v>1100</v>
      </c>
      <c r="L6" s="11" t="n">
        <f aca="false">L47+L84</f>
        <v>3548</v>
      </c>
      <c r="M6" s="11" t="n">
        <f aca="false">M47+M84</f>
        <v>111353</v>
      </c>
      <c r="N6" s="11" t="n">
        <f aca="false">N47+N84</f>
        <v>18230.09</v>
      </c>
      <c r="O6" s="12" t="n">
        <f aca="false">N6/$M6</f>
        <v>0.163714403743051</v>
      </c>
      <c r="P6" s="11" t="n">
        <f aca="false">P47+P84</f>
        <v>39207.33</v>
      </c>
      <c r="Q6" s="12" t="n">
        <f aca="false">P6/$M6</f>
        <v>0.352099449498442</v>
      </c>
      <c r="R6" s="11" t="n">
        <f aca="false">R47+R84</f>
        <v>55231.69</v>
      </c>
      <c r="S6" s="12" t="n">
        <f aca="false">R6/$M6</f>
        <v>0.496005406230636</v>
      </c>
      <c r="T6" s="11" t="n">
        <f aca="false">T47+T84</f>
        <v>82432.32</v>
      </c>
      <c r="U6" s="12" t="n">
        <f aca="false">T6/$M6</f>
        <v>0.740279291981357</v>
      </c>
      <c r="V6" s="11" t="n">
        <f aca="false">V47+V84</f>
        <v>105940</v>
      </c>
      <c r="W6" s="11" t="n">
        <f aca="false">W47+W84</f>
        <v>105940</v>
      </c>
    </row>
    <row r="7" customFormat="false" ht="13.9" hidden="false" customHeight="true" outlineLevel="0" collapsed="false">
      <c r="A7" s="9"/>
      <c r="B7" s="10"/>
      <c r="C7" s="13" t="s">
        <v>26</v>
      </c>
      <c r="D7" s="14" t="n">
        <f aca="false">SUM(D3:D6)</f>
        <v>1998248.68</v>
      </c>
      <c r="E7" s="14" t="n">
        <f aca="false">SUM(E3:E6)</f>
        <v>2062791.88</v>
      </c>
      <c r="F7" s="14" t="n">
        <f aca="false">SUM(F3:F6)</f>
        <v>2011113</v>
      </c>
      <c r="G7" s="14" t="n">
        <f aca="false">SUM(G3:G6)</f>
        <v>2121468.6</v>
      </c>
      <c r="H7" s="14" t="n">
        <f aca="false">SUM(H3:H6)</f>
        <v>2128718</v>
      </c>
      <c r="I7" s="14" t="n">
        <f aca="false">SUM(I3:I6)</f>
        <v>19784</v>
      </c>
      <c r="J7" s="14" t="n">
        <f aca="false">SUM(J3:J6)</f>
        <v>33301</v>
      </c>
      <c r="K7" s="14" t="n">
        <f aca="false">SUM(K3:K6)</f>
        <v>54385</v>
      </c>
      <c r="L7" s="14" t="n">
        <f aca="false">SUM(L3:L6)</f>
        <v>43859</v>
      </c>
      <c r="M7" s="14" t="n">
        <f aca="false">SUM(M3:M6)</f>
        <v>2280047</v>
      </c>
      <c r="N7" s="14" t="n">
        <f aca="false">SUM(N3:N6)</f>
        <v>600849.29</v>
      </c>
      <c r="O7" s="15" t="n">
        <f aca="false">N7/$M7</f>
        <v>0.263524958038146</v>
      </c>
      <c r="P7" s="14" t="n">
        <f aca="false">SUM(P3:P6)</f>
        <v>1100963.43</v>
      </c>
      <c r="Q7" s="15" t="n">
        <f aca="false">P7/$M7</f>
        <v>0.4828687434952</v>
      </c>
      <c r="R7" s="14" t="n">
        <f aca="false">SUM(R3:R6)</f>
        <v>1678306.31</v>
      </c>
      <c r="S7" s="15" t="n">
        <f aca="false">R7/$M7</f>
        <v>0.736084085108772</v>
      </c>
      <c r="T7" s="14" t="n">
        <f aca="false">SUM(T3:T6)</f>
        <v>2313775.5</v>
      </c>
      <c r="U7" s="15" t="n">
        <f aca="false">T7/$M7</f>
        <v>1.01479289681309</v>
      </c>
      <c r="V7" s="14" t="n">
        <f aca="false">SUM(V3:V6)</f>
        <v>2230565</v>
      </c>
      <c r="W7" s="14" t="n">
        <f aca="false">SUM(W3:W6)</f>
        <v>2324597</v>
      </c>
    </row>
    <row r="8" customFormat="false" ht="13.9" hidden="false" customHeight="true" outlineLevel="0" collapsed="false">
      <c r="A8" s="9"/>
      <c r="B8" s="10" t="n">
        <v>111</v>
      </c>
      <c r="C8" s="10" t="s">
        <v>22</v>
      </c>
      <c r="D8" s="11" t="n">
        <f aca="false">SUM(D114:D118)</f>
        <v>975398.05</v>
      </c>
      <c r="E8" s="11" t="n">
        <f aca="false">SUM(E114:E118)</f>
        <v>0</v>
      </c>
      <c r="F8" s="11" t="n">
        <f aca="false">SUM(F114:F120)</f>
        <v>501000</v>
      </c>
      <c r="G8" s="11" t="n">
        <f aca="false">SUM(G114:G118)</f>
        <v>100000</v>
      </c>
      <c r="H8" s="11" t="n">
        <f aca="false">SUM(H114:H119)</f>
        <v>355881</v>
      </c>
      <c r="I8" s="11" t="n">
        <f aca="false">SUM(I114:I118)</f>
        <v>0</v>
      </c>
      <c r="J8" s="11" t="n">
        <f aca="false">SUM(J114:J119)</f>
        <v>0</v>
      </c>
      <c r="K8" s="11" t="n">
        <f aca="false">SUM(K114:K118)</f>
        <v>0</v>
      </c>
      <c r="L8" s="11" t="n">
        <f aca="false">SUM(L114:L118)</f>
        <v>-5044</v>
      </c>
      <c r="M8" s="11" t="n">
        <f aca="false">SUM(M114:M119)</f>
        <v>350837</v>
      </c>
      <c r="N8" s="11" t="n">
        <f aca="false">SUM(N114:N118)</f>
        <v>0</v>
      </c>
      <c r="O8" s="12" t="n">
        <f aca="false">N8/$M8</f>
        <v>0</v>
      </c>
      <c r="P8" s="11" t="n">
        <f aca="false">SUM(P114:P118)</f>
        <v>111619.82</v>
      </c>
      <c r="Q8" s="12" t="n">
        <f aca="false">P8/$M8</f>
        <v>0.318152931418294</v>
      </c>
      <c r="R8" s="11" t="n">
        <f aca="false">SUM(R114:R118)</f>
        <v>166902.88</v>
      </c>
      <c r="S8" s="12" t="n">
        <f aca="false">R8/$M8</f>
        <v>0.475727702608334</v>
      </c>
      <c r="T8" s="11" t="n">
        <f aca="false">SUM(T114:T118)</f>
        <v>184139.16</v>
      </c>
      <c r="U8" s="12" t="n">
        <f aca="false">T8/$M8</f>
        <v>0.524856728338231</v>
      </c>
      <c r="V8" s="11" t="n">
        <f aca="false">SUM(V114:V119)</f>
        <v>0</v>
      </c>
      <c r="W8" s="11" t="n">
        <f aca="false">SUM(W114:W119)</f>
        <v>0</v>
      </c>
    </row>
    <row r="9" customFormat="false" ht="13.9" hidden="false" customHeight="true" outlineLevel="0" collapsed="false">
      <c r="A9" s="9"/>
      <c r="B9" s="10" t="n">
        <v>43</v>
      </c>
      <c r="C9" s="10" t="s">
        <v>23</v>
      </c>
      <c r="D9" s="11" t="n">
        <f aca="false">D56</f>
        <v>1</v>
      </c>
      <c r="E9" s="11" t="n">
        <f aca="false">E56</f>
        <v>0</v>
      </c>
      <c r="F9" s="11" t="n">
        <f aca="false">F56</f>
        <v>0</v>
      </c>
      <c r="G9" s="11" t="n">
        <f aca="false">G56</f>
        <v>87.5</v>
      </c>
      <c r="H9" s="11" t="n">
        <f aca="false">H56</f>
        <v>0</v>
      </c>
      <c r="I9" s="11" t="n">
        <f aca="false">I56</f>
        <v>0</v>
      </c>
      <c r="J9" s="11" t="n">
        <f aca="false">J56</f>
        <v>0</v>
      </c>
      <c r="K9" s="11" t="n">
        <f aca="false">K56</f>
        <v>0</v>
      </c>
      <c r="L9" s="11" t="n">
        <f aca="false">L56</f>
        <v>0</v>
      </c>
      <c r="M9" s="11" t="n">
        <f aca="false">M56</f>
        <v>0</v>
      </c>
      <c r="N9" s="11" t="n">
        <f aca="false">N56</f>
        <v>0</v>
      </c>
      <c r="O9" s="12" t="e">
        <f aca="false">N9/$M9</f>
        <v>#DIV/0!</v>
      </c>
      <c r="P9" s="11" t="n">
        <f aca="false">P56</f>
        <v>0</v>
      </c>
      <c r="Q9" s="12" t="e">
        <f aca="false">P9/$M9</f>
        <v>#DIV/0!</v>
      </c>
      <c r="R9" s="11" t="n">
        <f aca="false">R56</f>
        <v>6650</v>
      </c>
      <c r="S9" s="12" t="e">
        <f aca="false">R9/$M9</f>
        <v>#DIV/0!</v>
      </c>
      <c r="T9" s="11" t="n">
        <f aca="false">T56</f>
        <v>6650</v>
      </c>
      <c r="U9" s="12" t="e">
        <f aca="false">T9/$M9</f>
        <v>#DIV/0!</v>
      </c>
      <c r="V9" s="11" t="n">
        <f aca="false">V56</f>
        <v>0</v>
      </c>
      <c r="W9" s="11" t="n">
        <f aca="false">W56</f>
        <v>0</v>
      </c>
    </row>
    <row r="10" customFormat="false" ht="13.9" hidden="false" customHeight="true" outlineLevel="0" collapsed="false">
      <c r="A10" s="9"/>
      <c r="B10" s="10"/>
      <c r="C10" s="13" t="s">
        <v>27</v>
      </c>
      <c r="D10" s="14" t="n">
        <f aca="false">SUM(D8:D9)</f>
        <v>975399.05</v>
      </c>
      <c r="E10" s="14" t="n">
        <f aca="false">SUM(E8:E9)</f>
        <v>0</v>
      </c>
      <c r="F10" s="14" t="n">
        <f aca="false">SUM(F8:F9)</f>
        <v>501000</v>
      </c>
      <c r="G10" s="14" t="n">
        <f aca="false">SUM(G8:G9)</f>
        <v>100087.5</v>
      </c>
      <c r="H10" s="14" t="n">
        <f aca="false">SUM(H8:H9)</f>
        <v>355881</v>
      </c>
      <c r="I10" s="14" t="n">
        <f aca="false">SUM(I8:I9)</f>
        <v>0</v>
      </c>
      <c r="J10" s="14" t="n">
        <f aca="false">SUM(J8:J9)</f>
        <v>0</v>
      </c>
      <c r="K10" s="14" t="n">
        <f aca="false">SUM(K8:K9)</f>
        <v>0</v>
      </c>
      <c r="L10" s="14" t="n">
        <f aca="false">SUM(L8:L9)</f>
        <v>-5044</v>
      </c>
      <c r="M10" s="14" t="n">
        <f aca="false">SUM(M8:M9)</f>
        <v>350837</v>
      </c>
      <c r="N10" s="14" t="n">
        <f aca="false">SUM(N8:N9)</f>
        <v>0</v>
      </c>
      <c r="O10" s="15" t="n">
        <f aca="false">N10/$M10</f>
        <v>0</v>
      </c>
      <c r="P10" s="14" t="n">
        <f aca="false">SUM(P8:P9)</f>
        <v>111619.82</v>
      </c>
      <c r="Q10" s="15" t="n">
        <f aca="false">P10/$M10</f>
        <v>0.318152931418294</v>
      </c>
      <c r="R10" s="14" t="n">
        <f aca="false">SUM(R8:R9)</f>
        <v>173552.88</v>
      </c>
      <c r="S10" s="15" t="n">
        <f aca="false">R10/$M10</f>
        <v>0.494682373865926</v>
      </c>
      <c r="T10" s="14" t="n">
        <f aca="false">SUM(T8:T9)</f>
        <v>190789.16</v>
      </c>
      <c r="U10" s="15" t="n">
        <f aca="false">T10/$M10</f>
        <v>0.543811399595824</v>
      </c>
      <c r="V10" s="14" t="n">
        <f aca="false">SUM(V8:V9)</f>
        <v>0</v>
      </c>
      <c r="W10" s="14" t="n">
        <f aca="false">SUM(W8:W9)</f>
        <v>0</v>
      </c>
    </row>
    <row r="11" customFormat="false" ht="13.9" hidden="false" customHeight="true" outlineLevel="0" collapsed="false">
      <c r="A11" s="9"/>
      <c r="B11" s="10" t="n">
        <v>131</v>
      </c>
      <c r="C11" s="10" t="s">
        <v>22</v>
      </c>
      <c r="D11" s="11" t="n">
        <f aca="false">D130</f>
        <v>3137.87</v>
      </c>
      <c r="E11" s="11" t="n">
        <f aca="false">E130</f>
        <v>14889.34</v>
      </c>
      <c r="F11" s="11" t="n">
        <f aca="false">F130</f>
        <v>34161</v>
      </c>
      <c r="G11" s="11" t="n">
        <f aca="false">G130</f>
        <v>34161.16</v>
      </c>
      <c r="H11" s="11" t="n">
        <f aca="false">H130</f>
        <v>10884</v>
      </c>
      <c r="I11" s="11" t="n">
        <f aca="false">I130</f>
        <v>58471</v>
      </c>
      <c r="J11" s="11" t="n">
        <f aca="false">J130</f>
        <v>61</v>
      </c>
      <c r="K11" s="11" t="n">
        <f aca="false">K130</f>
        <v>0</v>
      </c>
      <c r="L11" s="11" t="n">
        <f aca="false">L130</f>
        <v>0</v>
      </c>
      <c r="M11" s="11" t="n">
        <f aca="false">M130</f>
        <v>69416</v>
      </c>
      <c r="N11" s="11" t="n">
        <f aca="false">N130</f>
        <v>69416.21</v>
      </c>
      <c r="O11" s="12" t="n">
        <f aca="false">N11/$M11</f>
        <v>1.00000302523914</v>
      </c>
      <c r="P11" s="11" t="n">
        <f aca="false">P130</f>
        <v>69416.21</v>
      </c>
      <c r="Q11" s="12" t="n">
        <f aca="false">P11/$M11</f>
        <v>1.00000302523914</v>
      </c>
      <c r="R11" s="11" t="n">
        <f aca="false">R130</f>
        <v>69416.21</v>
      </c>
      <c r="S11" s="12" t="n">
        <f aca="false">R11/$M11</f>
        <v>1.00000302523914</v>
      </c>
      <c r="T11" s="11" t="n">
        <f aca="false">T130</f>
        <v>69416.21</v>
      </c>
      <c r="U11" s="12" t="n">
        <f aca="false">T11/$M11</f>
        <v>1.00000302523914</v>
      </c>
      <c r="V11" s="11" t="n">
        <f aca="false">V130</f>
        <v>0</v>
      </c>
      <c r="W11" s="11" t="n">
        <f aca="false">W130</f>
        <v>0</v>
      </c>
    </row>
    <row r="12" customFormat="false" ht="13.9" hidden="false" customHeight="true" outlineLevel="0" collapsed="false">
      <c r="A12" s="9"/>
      <c r="B12" s="10" t="n">
        <v>41</v>
      </c>
      <c r="C12" s="10" t="s">
        <v>23</v>
      </c>
      <c r="D12" s="11" t="n">
        <f aca="false">D131</f>
        <v>170790.2</v>
      </c>
      <c r="E12" s="11" t="n">
        <f aca="false">E131</f>
        <v>361389.5</v>
      </c>
      <c r="F12" s="11" t="n">
        <f aca="false">F131</f>
        <v>762580</v>
      </c>
      <c r="G12" s="11" t="n">
        <f aca="false">G131</f>
        <v>759956.17</v>
      </c>
      <c r="H12" s="11" t="n">
        <f aca="false">H131</f>
        <v>426046</v>
      </c>
      <c r="I12" s="11" t="n">
        <f aca="false">I131</f>
        <v>0</v>
      </c>
      <c r="J12" s="11" t="n">
        <f aca="false">J131</f>
        <v>-22347</v>
      </c>
      <c r="K12" s="11" t="n">
        <f aca="false">K131</f>
        <v>0</v>
      </c>
      <c r="L12" s="11" t="n">
        <f aca="false">L131</f>
        <v>0</v>
      </c>
      <c r="M12" s="11" t="n">
        <f aca="false">M131</f>
        <v>403699</v>
      </c>
      <c r="N12" s="11" t="n">
        <f aca="false">N131</f>
        <v>403699.06</v>
      </c>
      <c r="O12" s="12" t="n">
        <f aca="false">N12/$M12</f>
        <v>1.00000014862559</v>
      </c>
      <c r="P12" s="11" t="n">
        <f aca="false">P131</f>
        <v>403699.06</v>
      </c>
      <c r="Q12" s="12" t="n">
        <f aca="false">P12/$M12</f>
        <v>1.00000014862559</v>
      </c>
      <c r="R12" s="11" t="n">
        <f aca="false">R131</f>
        <v>403699.06</v>
      </c>
      <c r="S12" s="12" t="n">
        <f aca="false">R12/$M12</f>
        <v>1.00000014862559</v>
      </c>
      <c r="T12" s="11" t="n">
        <f aca="false">T131</f>
        <v>403699.06</v>
      </c>
      <c r="U12" s="12" t="n">
        <f aca="false">T12/$M12</f>
        <v>1.00000014862559</v>
      </c>
      <c r="V12" s="11" t="n">
        <f aca="false">V131</f>
        <v>0</v>
      </c>
      <c r="W12" s="11" t="n">
        <f aca="false">W131</f>
        <v>0</v>
      </c>
    </row>
    <row r="13" customFormat="false" ht="13.9" hidden="true" customHeight="true" outlineLevel="0" collapsed="false">
      <c r="A13" s="9"/>
      <c r="B13" s="10" t="n">
        <v>52</v>
      </c>
      <c r="C13" s="10" t="s">
        <v>28</v>
      </c>
      <c r="D13" s="11" t="n">
        <f aca="false">D132</f>
        <v>0</v>
      </c>
      <c r="E13" s="11" t="n">
        <f aca="false">E132</f>
        <v>0</v>
      </c>
      <c r="F13" s="11" t="n">
        <f aca="false">F132</f>
        <v>0</v>
      </c>
      <c r="G13" s="11" t="n">
        <f aca="false">G132</f>
        <v>0</v>
      </c>
      <c r="H13" s="11" t="n">
        <f aca="false">H132</f>
        <v>0</v>
      </c>
      <c r="I13" s="11" t="n">
        <f aca="false">I132</f>
        <v>0</v>
      </c>
      <c r="J13" s="11" t="n">
        <f aca="false">J132</f>
        <v>0</v>
      </c>
      <c r="K13" s="11" t="n">
        <f aca="false">K132</f>
        <v>0</v>
      </c>
      <c r="L13" s="11" t="n">
        <f aca="false">L132</f>
        <v>0</v>
      </c>
      <c r="M13" s="11" t="n">
        <f aca="false">M132</f>
        <v>0</v>
      </c>
      <c r="N13" s="11" t="n">
        <f aca="false">N132</f>
        <v>0</v>
      </c>
      <c r="O13" s="12" t="e">
        <f aca="false">N13/$M13</f>
        <v>#DIV/0!</v>
      </c>
      <c r="P13" s="11" t="n">
        <f aca="false">P132</f>
        <v>0</v>
      </c>
      <c r="Q13" s="12" t="e">
        <f aca="false">P13/$M13</f>
        <v>#DIV/0!</v>
      </c>
      <c r="R13" s="11" t="n">
        <f aca="false">R132</f>
        <v>0</v>
      </c>
      <c r="S13" s="12" t="e">
        <f aca="false">R13/$M13</f>
        <v>#DIV/0!</v>
      </c>
      <c r="T13" s="11" t="n">
        <f aca="false">T132</f>
        <v>0</v>
      </c>
      <c r="U13" s="12" t="e">
        <f aca="false">T13/$M13</f>
        <v>#DIV/0!</v>
      </c>
      <c r="V13" s="11" t="n">
        <f aca="false">V132</f>
        <v>0</v>
      </c>
      <c r="W13" s="11" t="n">
        <f aca="false">W132</f>
        <v>0</v>
      </c>
    </row>
    <row r="14" customFormat="false" ht="13.9" hidden="false" customHeight="true" outlineLevel="0" collapsed="false">
      <c r="A14" s="9"/>
      <c r="B14" s="10" t="n">
        <v>71</v>
      </c>
      <c r="C14" s="10" t="s">
        <v>24</v>
      </c>
      <c r="D14" s="11" t="n">
        <f aca="false">D133</f>
        <v>5317.83</v>
      </c>
      <c r="E14" s="11" t="n">
        <f aca="false">E133</f>
        <v>6320.3</v>
      </c>
      <c r="F14" s="11" t="n">
        <f aca="false">F133</f>
        <v>0</v>
      </c>
      <c r="G14" s="11" t="n">
        <f aca="false">G133</f>
        <v>3760.3</v>
      </c>
      <c r="H14" s="11" t="n">
        <f aca="false">H133</f>
        <v>3760</v>
      </c>
      <c r="I14" s="11" t="n">
        <f aca="false">I133</f>
        <v>0</v>
      </c>
      <c r="J14" s="11" t="n">
        <f aca="false">J133</f>
        <v>10937</v>
      </c>
      <c r="K14" s="11" t="n">
        <f aca="false">K133</f>
        <v>-700</v>
      </c>
      <c r="L14" s="11" t="n">
        <f aca="false">L133</f>
        <v>0</v>
      </c>
      <c r="M14" s="11" t="n">
        <f aca="false">M133</f>
        <v>13997</v>
      </c>
      <c r="N14" s="11" t="n">
        <f aca="false">N133</f>
        <v>3760.3</v>
      </c>
      <c r="O14" s="12" t="n">
        <f aca="false">N14/$M14</f>
        <v>0.268650425091091</v>
      </c>
      <c r="P14" s="11" t="n">
        <f aca="false">P133</f>
        <v>3760.3</v>
      </c>
      <c r="Q14" s="12" t="n">
        <f aca="false">P14/$M14</f>
        <v>0.268650425091091</v>
      </c>
      <c r="R14" s="11" t="n">
        <f aca="false">R133</f>
        <v>4060.3</v>
      </c>
      <c r="S14" s="12" t="n">
        <f aca="false">R14/$M14</f>
        <v>0.290083589340573</v>
      </c>
      <c r="T14" s="11" t="n">
        <f aca="false">T133</f>
        <v>4060.3</v>
      </c>
      <c r="U14" s="12" t="n">
        <f aca="false">T14/$M14</f>
        <v>0.290083589340573</v>
      </c>
      <c r="V14" s="11" t="n">
        <f aca="false">V133</f>
        <v>0</v>
      </c>
      <c r="W14" s="11" t="n">
        <f aca="false">W133</f>
        <v>0</v>
      </c>
    </row>
    <row r="15" customFormat="false" ht="13.9" hidden="true" customHeight="true" outlineLevel="0" collapsed="false">
      <c r="A15" s="9"/>
      <c r="B15" s="16" t="n">
        <v>72</v>
      </c>
      <c r="C15" s="16" t="s">
        <v>25</v>
      </c>
      <c r="D15" s="11" t="n">
        <f aca="false">D134</f>
        <v>0</v>
      </c>
      <c r="E15" s="11" t="n">
        <f aca="false">E134</f>
        <v>10178.58</v>
      </c>
      <c r="F15" s="11" t="n">
        <f aca="false">F134</f>
        <v>9453</v>
      </c>
      <c r="G15" s="11" t="n">
        <f aca="false">G134</f>
        <v>9542.74</v>
      </c>
      <c r="H15" s="11" t="n">
        <f aca="false">H134</f>
        <v>0</v>
      </c>
      <c r="I15" s="11" t="n">
        <f aca="false">I134</f>
        <v>0</v>
      </c>
      <c r="J15" s="11" t="n">
        <f aca="false">J134</f>
        <v>0</v>
      </c>
      <c r="K15" s="11" t="n">
        <f aca="false">K134</f>
        <v>0</v>
      </c>
      <c r="L15" s="11" t="n">
        <f aca="false">L134</f>
        <v>0</v>
      </c>
      <c r="M15" s="11" t="n">
        <f aca="false">M134</f>
        <v>0</v>
      </c>
      <c r="N15" s="11" t="n">
        <f aca="false">N134</f>
        <v>0</v>
      </c>
      <c r="O15" s="12" t="e">
        <f aca="false">N15/$M15</f>
        <v>#DIV/0!</v>
      </c>
      <c r="P15" s="11" t="n">
        <f aca="false">P134</f>
        <v>0</v>
      </c>
      <c r="Q15" s="12" t="e">
        <f aca="false">P15/$M15</f>
        <v>#DIV/0!</v>
      </c>
      <c r="R15" s="11" t="n">
        <f aca="false">R134</f>
        <v>0</v>
      </c>
      <c r="S15" s="12" t="e">
        <f aca="false">R15/$M15</f>
        <v>#DIV/0!</v>
      </c>
      <c r="T15" s="11" t="n">
        <f aca="false">T134</f>
        <v>0</v>
      </c>
      <c r="U15" s="12" t="e">
        <f aca="false">T15/$M15</f>
        <v>#DIV/0!</v>
      </c>
      <c r="V15" s="11" t="n">
        <f aca="false">V134</f>
        <v>0</v>
      </c>
      <c r="W15" s="11" t="n">
        <f aca="false">W134</f>
        <v>0</v>
      </c>
    </row>
    <row r="16" customFormat="false" ht="13.9" hidden="false" customHeight="true" outlineLevel="0" collapsed="false">
      <c r="A16" s="9"/>
      <c r="B16" s="10"/>
      <c r="C16" s="13" t="s">
        <v>29</v>
      </c>
      <c r="D16" s="14" t="n">
        <f aca="false">SUM(D11:D15)</f>
        <v>179245.9</v>
      </c>
      <c r="E16" s="14" t="n">
        <f aca="false">SUM(E11:E15)</f>
        <v>392777.72</v>
      </c>
      <c r="F16" s="14" t="n">
        <f aca="false">SUM(F11:F15)</f>
        <v>806194</v>
      </c>
      <c r="G16" s="14" t="n">
        <f aca="false">SUM(G11:G15)</f>
        <v>807420.37</v>
      </c>
      <c r="H16" s="14" t="n">
        <f aca="false">SUM(H11:H15)</f>
        <v>440690</v>
      </c>
      <c r="I16" s="14" t="n">
        <f aca="false">SUM(I11:I15)</f>
        <v>58471</v>
      </c>
      <c r="J16" s="14" t="n">
        <f aca="false">SUM(J11:J15)</f>
        <v>-11349</v>
      </c>
      <c r="K16" s="14" t="n">
        <f aca="false">SUM(K11:K15)</f>
        <v>-700</v>
      </c>
      <c r="L16" s="14" t="n">
        <f aca="false">SUM(L11:L15)</f>
        <v>0</v>
      </c>
      <c r="M16" s="14" t="n">
        <f aca="false">SUM(M11:M15)</f>
        <v>487112</v>
      </c>
      <c r="N16" s="14" t="n">
        <f aca="false">SUM(N11:N15)</f>
        <v>476875.57</v>
      </c>
      <c r="O16" s="15" t="n">
        <f aca="false">N16/$M16</f>
        <v>0.978985469460822</v>
      </c>
      <c r="P16" s="14" t="n">
        <f aca="false">SUM(P11:P15)</f>
        <v>476875.57</v>
      </c>
      <c r="Q16" s="15" t="n">
        <f aca="false">P16/$M16</f>
        <v>0.978985469460822</v>
      </c>
      <c r="R16" s="14" t="n">
        <f aca="false">SUM(R11:R15)</f>
        <v>477175.57</v>
      </c>
      <c r="S16" s="15" t="n">
        <f aca="false">R16/$M16</f>
        <v>0.979601344249372</v>
      </c>
      <c r="T16" s="14" t="n">
        <f aca="false">SUM(T11:T15)</f>
        <v>477175.57</v>
      </c>
      <c r="U16" s="15" t="n">
        <f aca="false">T16/$M16</f>
        <v>0.979601344249372</v>
      </c>
      <c r="V16" s="14" t="n">
        <f aca="false">SUM(V11:V15)</f>
        <v>0</v>
      </c>
      <c r="W16" s="14" t="n">
        <f aca="false">SUM(W11:W15)</f>
        <v>0</v>
      </c>
    </row>
    <row r="17" customFormat="false" ht="13.9" hidden="false" customHeight="true" outlineLevel="0" collapsed="false">
      <c r="A17" s="9"/>
      <c r="B17" s="10" t="n">
        <v>111</v>
      </c>
      <c r="C17" s="10" t="s">
        <v>22</v>
      </c>
      <c r="D17" s="11" t="n">
        <f aca="false">D3+D8+D11</f>
        <v>1596660.77</v>
      </c>
      <c r="E17" s="11" t="n">
        <f aca="false">E3+E8+E11</f>
        <v>727822.04</v>
      </c>
      <c r="F17" s="11" t="n">
        <f aca="false">F3+F8+F11</f>
        <v>1202419</v>
      </c>
      <c r="G17" s="11" t="n">
        <f aca="false">G3+G8+G11</f>
        <v>862318.55</v>
      </c>
      <c r="H17" s="11" t="n">
        <f aca="false">H3+H8+H11</f>
        <v>997475</v>
      </c>
      <c r="I17" s="11" t="n">
        <f aca="false">I3+I8+I11</f>
        <v>70964</v>
      </c>
      <c r="J17" s="11" t="n">
        <f aca="false">J3+J8+J11</f>
        <v>31597</v>
      </c>
      <c r="K17" s="11" t="n">
        <f aca="false">K3+K8+K11</f>
        <v>52585</v>
      </c>
      <c r="L17" s="11" t="n">
        <f aca="false">L3+L8+L11</f>
        <v>34423</v>
      </c>
      <c r="M17" s="11" t="n">
        <f aca="false">M3+M8+M11</f>
        <v>1187044</v>
      </c>
      <c r="N17" s="11" t="n">
        <f aca="false">N3+N8+N11</f>
        <v>247693.68</v>
      </c>
      <c r="O17" s="12" t="n">
        <f aca="false">N17/$M17</f>
        <v>0.208664278661954</v>
      </c>
      <c r="P17" s="11" t="n">
        <f aca="false">P3+P8+P11</f>
        <v>539852.12</v>
      </c>
      <c r="Q17" s="12" t="n">
        <f aca="false">P17/$M17</f>
        <v>0.454786949767658</v>
      </c>
      <c r="R17" s="11" t="n">
        <f aca="false">R3+R8+R11</f>
        <v>773721.3</v>
      </c>
      <c r="S17" s="12" t="n">
        <f aca="false">R17/$M17</f>
        <v>0.651805072095053</v>
      </c>
      <c r="T17" s="11" t="n">
        <f aca="false">T3+T8+T11</f>
        <v>1016510.82</v>
      </c>
      <c r="U17" s="12" t="n">
        <f aca="false">T17/$M17</f>
        <v>0.856337945349962</v>
      </c>
      <c r="V17" s="11" t="n">
        <f aca="false">V3+V8+V11</f>
        <v>634763</v>
      </c>
      <c r="W17" s="11" t="n">
        <f aca="false">W3+W8+W11</f>
        <v>640842</v>
      </c>
    </row>
    <row r="18" customFormat="false" ht="13.9" hidden="false" customHeight="true" outlineLevel="0" collapsed="false">
      <c r="A18" s="9"/>
      <c r="B18" s="10" t="n">
        <v>41</v>
      </c>
      <c r="C18" s="10" t="s">
        <v>23</v>
      </c>
      <c r="D18" s="11" t="n">
        <f aca="false">D4+D9+D12</f>
        <v>1490858.04</v>
      </c>
      <c r="E18" s="11" t="n">
        <f aca="false">E4+E9+E12</f>
        <v>1665752.2</v>
      </c>
      <c r="F18" s="11" t="n">
        <f aca="false">F4+F9+F12</f>
        <v>2061514</v>
      </c>
      <c r="G18" s="11" t="n">
        <f aca="false">G4+G9+G12</f>
        <v>2107454.88</v>
      </c>
      <c r="H18" s="11" t="n">
        <f aca="false">H4+H9+H12</f>
        <v>1815114</v>
      </c>
      <c r="I18" s="11" t="n">
        <f aca="false">I4+I9+I12</f>
        <v>7291</v>
      </c>
      <c r="J18" s="11" t="n">
        <f aca="false">J4+J9+J12</f>
        <v>-21347</v>
      </c>
      <c r="K18" s="11" t="n">
        <f aca="false">K4+K9+K12</f>
        <v>0</v>
      </c>
      <c r="L18" s="11" t="n">
        <f aca="false">L4+L9+L12</f>
        <v>844</v>
      </c>
      <c r="M18" s="11" t="n">
        <f aca="false">M4+M9+M12</f>
        <v>1801902</v>
      </c>
      <c r="N18" s="11" t="n">
        <f aca="false">N4+N9+N12</f>
        <v>808040.79</v>
      </c>
      <c r="O18" s="12" t="n">
        <f aca="false">N18/$M18</f>
        <v>0.448437700829457</v>
      </c>
      <c r="P18" s="11" t="n">
        <f aca="false">P4+P9+P12</f>
        <v>1103639.07</v>
      </c>
      <c r="Q18" s="12" t="n">
        <f aca="false">P18/$M18</f>
        <v>0.612485623524476</v>
      </c>
      <c r="R18" s="11" t="n">
        <f aca="false">R4+R9+R12</f>
        <v>1492321.47</v>
      </c>
      <c r="S18" s="12" t="n">
        <f aca="false">R18/$M18</f>
        <v>0.828192360072857</v>
      </c>
      <c r="T18" s="11" t="n">
        <f aca="false">T4+T9+T12</f>
        <v>1875036.79</v>
      </c>
      <c r="U18" s="12" t="n">
        <f aca="false">T18/$M18</f>
        <v>1.04058755137627</v>
      </c>
      <c r="V18" s="11" t="n">
        <f aca="false">V4+V9+V12</f>
        <v>1486862</v>
      </c>
      <c r="W18" s="11" t="n">
        <f aca="false">W4+W9+W12</f>
        <v>1574815</v>
      </c>
    </row>
    <row r="19" customFormat="false" ht="13.9" hidden="true" customHeight="true" outlineLevel="0" collapsed="false">
      <c r="A19" s="9"/>
      <c r="B19" s="10" t="n">
        <v>52</v>
      </c>
      <c r="C19" s="10" t="s">
        <v>28</v>
      </c>
      <c r="D19" s="11" t="n">
        <f aca="false">D13</f>
        <v>0</v>
      </c>
      <c r="E19" s="11" t="n">
        <f aca="false">E13</f>
        <v>0</v>
      </c>
      <c r="F19" s="11" t="n">
        <f aca="false">F13</f>
        <v>0</v>
      </c>
      <c r="G19" s="11" t="n">
        <f aca="false">G13</f>
        <v>0</v>
      </c>
      <c r="H19" s="11" t="n">
        <f aca="false">H13</f>
        <v>0</v>
      </c>
      <c r="I19" s="11" t="n">
        <f aca="false">I13</f>
        <v>0</v>
      </c>
      <c r="J19" s="11" t="n">
        <f aca="false">J13</f>
        <v>0</v>
      </c>
      <c r="K19" s="11" t="n">
        <f aca="false">K13</f>
        <v>0</v>
      </c>
      <c r="L19" s="11" t="n">
        <f aca="false">L13</f>
        <v>0</v>
      </c>
      <c r="M19" s="11" t="n">
        <f aca="false">M13</f>
        <v>0</v>
      </c>
      <c r="N19" s="11" t="n">
        <f aca="false">N13</f>
        <v>0</v>
      </c>
      <c r="O19" s="12" t="e">
        <f aca="false">N19/$M19</f>
        <v>#DIV/0!</v>
      </c>
      <c r="P19" s="11" t="n">
        <f aca="false">P13</f>
        <v>0</v>
      </c>
      <c r="Q19" s="12" t="e">
        <f aca="false">P19/$M19</f>
        <v>#DIV/0!</v>
      </c>
      <c r="R19" s="11" t="n">
        <f aca="false">R13</f>
        <v>0</v>
      </c>
      <c r="S19" s="12" t="e">
        <f aca="false">R19/$M19</f>
        <v>#DIV/0!</v>
      </c>
      <c r="T19" s="11" t="n">
        <f aca="false">T13</f>
        <v>0</v>
      </c>
      <c r="U19" s="12" t="e">
        <f aca="false">T19/$M19</f>
        <v>#DIV/0!</v>
      </c>
      <c r="V19" s="11" t="n">
        <f aca="false">V13</f>
        <v>0</v>
      </c>
      <c r="W19" s="11" t="n">
        <f aca="false">W13</f>
        <v>0</v>
      </c>
    </row>
    <row r="20" customFormat="false" ht="13.9" hidden="false" customHeight="true" outlineLevel="0" collapsed="false">
      <c r="A20" s="9"/>
      <c r="B20" s="10" t="n">
        <v>71</v>
      </c>
      <c r="C20" s="10" t="s">
        <v>24</v>
      </c>
      <c r="D20" s="11" t="n">
        <f aca="false">D5+D14</f>
        <v>6717.83</v>
      </c>
      <c r="E20" s="11" t="n">
        <f aca="false">E5+E14</f>
        <v>7720.3</v>
      </c>
      <c r="F20" s="11" t="n">
        <f aca="false">F5+F14</f>
        <v>3000</v>
      </c>
      <c r="G20" s="11" t="n">
        <f aca="false">G5+G14</f>
        <v>6760.3</v>
      </c>
      <c r="H20" s="11" t="n">
        <f aca="false">H5+H14</f>
        <v>6760</v>
      </c>
      <c r="I20" s="11" t="n">
        <f aca="false">I5+I14</f>
        <v>0</v>
      </c>
      <c r="J20" s="11" t="n">
        <f aca="false">J5+J14</f>
        <v>10937</v>
      </c>
      <c r="K20" s="11" t="n">
        <f aca="false">K5+K14</f>
        <v>0</v>
      </c>
      <c r="L20" s="11" t="n">
        <f aca="false">L5+L14</f>
        <v>0</v>
      </c>
      <c r="M20" s="11" t="n">
        <f aca="false">M5+M14</f>
        <v>17697</v>
      </c>
      <c r="N20" s="11" t="n">
        <f aca="false">N5+N14</f>
        <v>3760.3</v>
      </c>
      <c r="O20" s="12" t="n">
        <f aca="false">N20/$M20</f>
        <v>0.212482341639826</v>
      </c>
      <c r="P20" s="11" t="n">
        <f aca="false">P5+P14</f>
        <v>6760.3</v>
      </c>
      <c r="Q20" s="12" t="n">
        <f aca="false">P20/$M20</f>
        <v>0.382002599310618</v>
      </c>
      <c r="R20" s="11" t="n">
        <f aca="false">R5+R14</f>
        <v>7760.3</v>
      </c>
      <c r="S20" s="12" t="n">
        <f aca="false">R20/$M20</f>
        <v>0.438509351867548</v>
      </c>
      <c r="T20" s="11" t="n">
        <f aca="false">T5+T14</f>
        <v>7760.3</v>
      </c>
      <c r="U20" s="12" t="n">
        <f aca="false">T20/$M20</f>
        <v>0.438509351867548</v>
      </c>
      <c r="V20" s="11" t="n">
        <f aca="false">V5+V14</f>
        <v>3000</v>
      </c>
      <c r="W20" s="11" t="n">
        <f aca="false">W5+W14</f>
        <v>3000</v>
      </c>
    </row>
    <row r="21" customFormat="false" ht="13.9" hidden="false" customHeight="true" outlineLevel="0" collapsed="false">
      <c r="A21" s="9"/>
      <c r="B21" s="10" t="n">
        <v>72</v>
      </c>
      <c r="C21" s="10" t="s">
        <v>25</v>
      </c>
      <c r="D21" s="11" t="n">
        <f aca="false">D6</f>
        <v>58656.99</v>
      </c>
      <c r="E21" s="11" t="n">
        <f aca="false">E6+E15</f>
        <v>54275.06</v>
      </c>
      <c r="F21" s="11" t="n">
        <f aca="false">F6+F15</f>
        <v>51374</v>
      </c>
      <c r="G21" s="11" t="n">
        <f aca="false">G6+G15</f>
        <v>52442.74</v>
      </c>
      <c r="H21" s="11" t="n">
        <f aca="false">H6+H15</f>
        <v>105940</v>
      </c>
      <c r="I21" s="11" t="n">
        <f aca="false">I6</f>
        <v>0</v>
      </c>
      <c r="J21" s="11" t="n">
        <f aca="false">J6</f>
        <v>765</v>
      </c>
      <c r="K21" s="11" t="n">
        <f aca="false">K6</f>
        <v>1100</v>
      </c>
      <c r="L21" s="11" t="n">
        <f aca="false">L6+L15</f>
        <v>3548</v>
      </c>
      <c r="M21" s="11" t="n">
        <f aca="false">M6+M15</f>
        <v>111353</v>
      </c>
      <c r="N21" s="11" t="n">
        <f aca="false">N6+N15</f>
        <v>18230.09</v>
      </c>
      <c r="O21" s="12" t="n">
        <f aca="false">N21/$M21</f>
        <v>0.163714403743051</v>
      </c>
      <c r="P21" s="11" t="n">
        <f aca="false">P6+P15</f>
        <v>39207.33</v>
      </c>
      <c r="Q21" s="12" t="n">
        <f aca="false">P21/$M21</f>
        <v>0.352099449498442</v>
      </c>
      <c r="R21" s="11" t="n">
        <f aca="false">R6+R15</f>
        <v>55231.69</v>
      </c>
      <c r="S21" s="12" t="n">
        <f aca="false">R21/$M21</f>
        <v>0.496005406230636</v>
      </c>
      <c r="T21" s="11" t="n">
        <f aca="false">T6+T15</f>
        <v>82432.32</v>
      </c>
      <c r="U21" s="12" t="n">
        <f aca="false">T21/$M21</f>
        <v>0.740279291981357</v>
      </c>
      <c r="V21" s="11" t="n">
        <f aca="false">V6</f>
        <v>105940</v>
      </c>
      <c r="W21" s="11" t="n">
        <f aca="false">W6</f>
        <v>105940</v>
      </c>
    </row>
    <row r="22" customFormat="false" ht="13.9" hidden="false" customHeight="true" outlineLevel="0" collapsed="false">
      <c r="A22" s="17"/>
      <c r="B22" s="18"/>
      <c r="C22" s="13" t="s">
        <v>30</v>
      </c>
      <c r="D22" s="14" t="n">
        <f aca="false">SUM(D17:D21)</f>
        <v>3152893.63</v>
      </c>
      <c r="E22" s="14" t="n">
        <f aca="false">SUM(E17:E21)</f>
        <v>2455569.6</v>
      </c>
      <c r="F22" s="14" t="n">
        <f aca="false">SUM(F17:F21)</f>
        <v>3318307</v>
      </c>
      <c r="G22" s="14" t="n">
        <f aca="false">SUM(G17:G21)</f>
        <v>3028976.47</v>
      </c>
      <c r="H22" s="14" t="n">
        <f aca="false">SUM(H17:H21)</f>
        <v>2925289</v>
      </c>
      <c r="I22" s="14" t="n">
        <f aca="false">SUM(I17:I21)</f>
        <v>78255</v>
      </c>
      <c r="J22" s="14" t="n">
        <f aca="false">SUM(J17:J21)</f>
        <v>21952</v>
      </c>
      <c r="K22" s="14" t="n">
        <f aca="false">SUM(K17:K21)</f>
        <v>53685</v>
      </c>
      <c r="L22" s="14" t="n">
        <f aca="false">SUM(L17:L21)</f>
        <v>38815</v>
      </c>
      <c r="M22" s="14" t="n">
        <f aca="false">SUM(M17:M21)</f>
        <v>3117996</v>
      </c>
      <c r="N22" s="14" t="n">
        <f aca="false">SUM(N17:N21)</f>
        <v>1077724.86</v>
      </c>
      <c r="O22" s="15" t="n">
        <f aca="false">N22/$M22</f>
        <v>0.345646646115005</v>
      </c>
      <c r="P22" s="14" t="n">
        <f aca="false">SUM(P17:P21)</f>
        <v>1689458.82</v>
      </c>
      <c r="Q22" s="15" t="n">
        <f aca="false">P22/$M22</f>
        <v>0.541841240335138</v>
      </c>
      <c r="R22" s="14" t="n">
        <f aca="false">SUM(R17:R21)</f>
        <v>2329034.76</v>
      </c>
      <c r="S22" s="15" t="n">
        <f aca="false">R22/$M22</f>
        <v>0.746965281546224</v>
      </c>
      <c r="T22" s="14" t="n">
        <f aca="false">SUM(T17:T21)</f>
        <v>2981740.23</v>
      </c>
      <c r="U22" s="15" t="n">
        <f aca="false">T22/$M22</f>
        <v>0.956300210134971</v>
      </c>
      <c r="V22" s="14" t="n">
        <f aca="false">SUM(V17:V21)</f>
        <v>2230565</v>
      </c>
      <c r="W22" s="14" t="n">
        <f aca="false">SUM(W17:W21)</f>
        <v>2324597</v>
      </c>
    </row>
    <row r="24" customFormat="false" ht="13.9" hidden="false" customHeight="true" outlineLevel="0" collapsed="false">
      <c r="A24" s="19" t="s">
        <v>31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9"/>
      <c r="Q24" s="19"/>
      <c r="R24" s="19"/>
      <c r="S24" s="19"/>
      <c r="T24" s="19"/>
      <c r="U24" s="19"/>
      <c r="V24" s="19"/>
      <c r="W24" s="19"/>
    </row>
    <row r="25" customFormat="false" ht="13.9" hidden="false" customHeight="true" outlineLevel="0" collapsed="false">
      <c r="A25" s="6"/>
      <c r="B25" s="6"/>
      <c r="C25" s="6"/>
      <c r="D25" s="7" t="s">
        <v>1</v>
      </c>
      <c r="E25" s="7" t="s">
        <v>2</v>
      </c>
      <c r="F25" s="7" t="s">
        <v>3</v>
      </c>
      <c r="G25" s="7" t="s">
        <v>4</v>
      </c>
      <c r="H25" s="7" t="s">
        <v>5</v>
      </c>
      <c r="I25" s="7" t="s">
        <v>6</v>
      </c>
      <c r="J25" s="7" t="s">
        <v>7</v>
      </c>
      <c r="K25" s="7" t="s">
        <v>8</v>
      </c>
      <c r="L25" s="7" t="s">
        <v>9</v>
      </c>
      <c r="M25" s="7" t="s">
        <v>10</v>
      </c>
      <c r="N25" s="7" t="s">
        <v>11</v>
      </c>
      <c r="O25" s="8" t="s">
        <v>12</v>
      </c>
      <c r="P25" s="7" t="s">
        <v>13</v>
      </c>
      <c r="Q25" s="8" t="s">
        <v>14</v>
      </c>
      <c r="R25" s="7" t="s">
        <v>15</v>
      </c>
      <c r="S25" s="8" t="s">
        <v>16</v>
      </c>
      <c r="T25" s="7" t="s">
        <v>17</v>
      </c>
      <c r="U25" s="8" t="s">
        <v>18</v>
      </c>
      <c r="V25" s="7" t="s">
        <v>19</v>
      </c>
      <c r="W25" s="7" t="s">
        <v>20</v>
      </c>
    </row>
    <row r="26" customFormat="false" ht="13.9" hidden="false" customHeight="true" outlineLevel="0" collapsed="false">
      <c r="A26" s="21" t="s">
        <v>21</v>
      </c>
      <c r="B26" s="22" t="n">
        <v>41</v>
      </c>
      <c r="C26" s="22" t="s">
        <v>23</v>
      </c>
      <c r="D26" s="23" t="n">
        <f aca="false">D40</f>
        <v>1197839.08</v>
      </c>
      <c r="E26" s="23" t="n">
        <f aca="false">E40</f>
        <v>1191500.53</v>
      </c>
      <c r="F26" s="23" t="n">
        <f aca="false">F40</f>
        <v>1190310</v>
      </c>
      <c r="G26" s="23" t="n">
        <f aca="false">G40</f>
        <v>1254961.66</v>
      </c>
      <c r="H26" s="23" t="n">
        <f aca="false">H40</f>
        <v>1300614</v>
      </c>
      <c r="I26" s="23" t="n">
        <f aca="false">I40</f>
        <v>784</v>
      </c>
      <c r="J26" s="23" t="n">
        <f aca="false">J40</f>
        <v>500</v>
      </c>
      <c r="K26" s="23" t="n">
        <f aca="false">K40</f>
        <v>0</v>
      </c>
      <c r="L26" s="23" t="n">
        <f aca="false">L40</f>
        <v>5874</v>
      </c>
      <c r="M26" s="23" t="n">
        <f aca="false">M40</f>
        <v>1307772</v>
      </c>
      <c r="N26" s="23" t="n">
        <f aca="false">N40</f>
        <v>378242.11</v>
      </c>
      <c r="O26" s="24" t="n">
        <f aca="false">N26/$M26</f>
        <v>0.289226340677121</v>
      </c>
      <c r="P26" s="23" t="n">
        <f aca="false">P40</f>
        <v>653125.9</v>
      </c>
      <c r="Q26" s="24" t="n">
        <f aca="false">P26/$M26</f>
        <v>0.499418782478903</v>
      </c>
      <c r="R26" s="23" t="n">
        <f aca="false">R40</f>
        <v>1017979.81</v>
      </c>
      <c r="S26" s="24" t="n">
        <f aca="false">R26/$M26</f>
        <v>0.778407711741802</v>
      </c>
      <c r="T26" s="23" t="n">
        <f aca="false">T40</f>
        <v>1369565.98</v>
      </c>
      <c r="U26" s="24" t="n">
        <f aca="false">T26/$M26</f>
        <v>1.04725134044772</v>
      </c>
      <c r="V26" s="23" t="n">
        <f aca="false">V40</f>
        <v>1398408</v>
      </c>
      <c r="W26" s="23" t="n">
        <f aca="false">W40</f>
        <v>1486361</v>
      </c>
    </row>
    <row r="27" customFormat="false" ht="13.9" hidden="false" customHeight="true" outlineLevel="0" collapsed="false">
      <c r="A27" s="17"/>
      <c r="B27" s="18"/>
      <c r="C27" s="25" t="s">
        <v>30</v>
      </c>
      <c r="D27" s="26" t="n">
        <f aca="false">SUM(D26:D26)</f>
        <v>1197839.08</v>
      </c>
      <c r="E27" s="26" t="n">
        <f aca="false">SUM(E26:E26)</f>
        <v>1191500.53</v>
      </c>
      <c r="F27" s="26" t="n">
        <f aca="false">SUM(F26:F26)</f>
        <v>1190310</v>
      </c>
      <c r="G27" s="26" t="n">
        <f aca="false">SUM(G26:G26)</f>
        <v>1254961.66</v>
      </c>
      <c r="H27" s="26" t="n">
        <f aca="false">SUM(H26:H26)</f>
        <v>1300614</v>
      </c>
      <c r="I27" s="26" t="n">
        <f aca="false">SUM(I26:I26)</f>
        <v>784</v>
      </c>
      <c r="J27" s="26" t="n">
        <f aca="false">SUM(J26:J26)</f>
        <v>500</v>
      </c>
      <c r="K27" s="26" t="n">
        <f aca="false">SUM(K26:K26)</f>
        <v>0</v>
      </c>
      <c r="L27" s="26" t="n">
        <f aca="false">SUM(L26:L26)</f>
        <v>5874</v>
      </c>
      <c r="M27" s="26" t="n">
        <f aca="false">SUM(M26:M26)</f>
        <v>1307772</v>
      </c>
      <c r="N27" s="26" t="n">
        <f aca="false">SUM(N26:N26)</f>
        <v>378242.11</v>
      </c>
      <c r="O27" s="27" t="n">
        <f aca="false">N27/$M27</f>
        <v>0.289226340677121</v>
      </c>
      <c r="P27" s="26" t="n">
        <f aca="false">SUM(P26:P26)</f>
        <v>653125.9</v>
      </c>
      <c r="Q27" s="27" t="n">
        <f aca="false">P27/$M27</f>
        <v>0.499418782478903</v>
      </c>
      <c r="R27" s="26" t="n">
        <f aca="false">SUM(R26:R26)</f>
        <v>1017979.81</v>
      </c>
      <c r="S27" s="27" t="n">
        <f aca="false">R27/$M27</f>
        <v>0.778407711741802</v>
      </c>
      <c r="T27" s="26" t="n">
        <f aca="false">SUM(T26:T26)</f>
        <v>1369565.98</v>
      </c>
      <c r="U27" s="27" t="n">
        <f aca="false">T27/$M27</f>
        <v>1.04725134044772</v>
      </c>
      <c r="V27" s="26" t="n">
        <f aca="false">SUM(V26:V26)</f>
        <v>1398408</v>
      </c>
      <c r="W27" s="26" t="n">
        <f aca="false">SUM(W26:W26)</f>
        <v>1486361</v>
      </c>
    </row>
    <row r="29" customFormat="false" ht="13.9" hidden="false" customHeight="true" outlineLevel="0" collapsed="false">
      <c r="A29" s="28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</row>
    <row r="30" customFormat="false" ht="13.9" hidden="false" customHeight="true" outlineLevel="0" collapsed="false">
      <c r="A30" s="7" t="s">
        <v>33</v>
      </c>
      <c r="B30" s="7" t="s">
        <v>34</v>
      </c>
      <c r="C30" s="7" t="s">
        <v>35</v>
      </c>
      <c r="D30" s="7" t="s">
        <v>1</v>
      </c>
      <c r="E30" s="7" t="s">
        <v>2</v>
      </c>
      <c r="F30" s="7" t="s">
        <v>3</v>
      </c>
      <c r="G30" s="7" t="s">
        <v>4</v>
      </c>
      <c r="H30" s="7" t="s">
        <v>5</v>
      </c>
      <c r="I30" s="7" t="s">
        <v>6</v>
      </c>
      <c r="J30" s="7" t="s">
        <v>7</v>
      </c>
      <c r="K30" s="7" t="s">
        <v>8</v>
      </c>
      <c r="L30" s="7" t="s">
        <v>9</v>
      </c>
      <c r="M30" s="7" t="s">
        <v>10</v>
      </c>
      <c r="N30" s="7" t="s">
        <v>11</v>
      </c>
      <c r="O30" s="8" t="s">
        <v>12</v>
      </c>
      <c r="P30" s="7" t="s">
        <v>13</v>
      </c>
      <c r="Q30" s="8" t="s">
        <v>14</v>
      </c>
      <c r="R30" s="7" t="s">
        <v>15</v>
      </c>
      <c r="S30" s="8" t="s">
        <v>16</v>
      </c>
      <c r="T30" s="7" t="s">
        <v>17</v>
      </c>
      <c r="U30" s="8" t="s">
        <v>18</v>
      </c>
      <c r="V30" s="7" t="s">
        <v>19</v>
      </c>
      <c r="W30" s="7" t="s">
        <v>20</v>
      </c>
    </row>
    <row r="31" customFormat="false" ht="13.9" hidden="false" customHeight="true" outlineLevel="0" collapsed="false">
      <c r="A31" s="30" t="s">
        <v>36</v>
      </c>
      <c r="B31" s="10" t="n">
        <v>111003</v>
      </c>
      <c r="C31" s="10" t="s">
        <v>37</v>
      </c>
      <c r="D31" s="11" t="n">
        <v>1090114.86</v>
      </c>
      <c r="E31" s="11" t="n">
        <v>1093700.52</v>
      </c>
      <c r="F31" s="11" t="n">
        <v>1079448</v>
      </c>
      <c r="G31" s="11" t="n">
        <v>1140652.7</v>
      </c>
      <c r="H31" s="11" t="n">
        <v>1186306</v>
      </c>
      <c r="I31" s="11"/>
      <c r="J31" s="11"/>
      <c r="K31" s="11"/>
      <c r="L31" s="11" t="n">
        <v>5874</v>
      </c>
      <c r="M31" s="11" t="n">
        <f aca="false">H31+SUM(I31:L31)</f>
        <v>1192180</v>
      </c>
      <c r="N31" s="11" t="n">
        <v>361254.26</v>
      </c>
      <c r="O31" s="12" t="n">
        <f aca="false">N31/$M31</f>
        <v>0.303019896324381</v>
      </c>
      <c r="P31" s="11" t="n">
        <v>601255.26</v>
      </c>
      <c r="Q31" s="12" t="n">
        <f aca="false">P31/$M31</f>
        <v>0.504332617557751</v>
      </c>
      <c r="R31" s="11" t="n">
        <v>927662.26</v>
      </c>
      <c r="S31" s="12" t="n">
        <f aca="false">R31/$M31</f>
        <v>0.778122649264373</v>
      </c>
      <c r="T31" s="11" t="n">
        <v>1241704.26</v>
      </c>
      <c r="U31" s="12" t="n">
        <f aca="false">T31/$M31</f>
        <v>1.0415409250281</v>
      </c>
      <c r="V31" s="11" t="n">
        <v>1284100</v>
      </c>
      <c r="W31" s="11" t="n">
        <v>1372053</v>
      </c>
    </row>
    <row r="32" customFormat="false" ht="13.9" hidden="false" customHeight="true" outlineLevel="0" collapsed="false">
      <c r="A32" s="30"/>
      <c r="B32" s="10" t="n">
        <v>121001</v>
      </c>
      <c r="C32" s="10" t="s">
        <v>38</v>
      </c>
      <c r="D32" s="11" t="n">
        <v>26123.33</v>
      </c>
      <c r="E32" s="11" t="n">
        <v>13578.36</v>
      </c>
      <c r="F32" s="11" t="n">
        <v>13578</v>
      </c>
      <c r="G32" s="11" t="n">
        <v>18084.52</v>
      </c>
      <c r="H32" s="11" t="n">
        <v>18085</v>
      </c>
      <c r="I32" s="11"/>
      <c r="J32" s="11"/>
      <c r="K32" s="11"/>
      <c r="L32" s="11"/>
      <c r="M32" s="11" t="n">
        <f aca="false">H32+SUM(I32:L32)</f>
        <v>18085</v>
      </c>
      <c r="N32" s="11" t="n">
        <v>4395.13</v>
      </c>
      <c r="O32" s="12" t="n">
        <f aca="false">N32/$M32</f>
        <v>0.243026264860382</v>
      </c>
      <c r="P32" s="11" t="n">
        <v>6548.19</v>
      </c>
      <c r="Q32" s="12" t="n">
        <f aca="false">P32/$M32</f>
        <v>0.36207851810893</v>
      </c>
      <c r="R32" s="11" t="n">
        <v>8895.77</v>
      </c>
      <c r="S32" s="12" t="n">
        <f aca="false">R32/$M32</f>
        <v>0.491886646392038</v>
      </c>
      <c r="T32" s="11" t="n">
        <v>19723.59</v>
      </c>
      <c r="U32" s="12" t="n">
        <f aca="false">T32/$M32</f>
        <v>1.09060492120542</v>
      </c>
      <c r="V32" s="11" t="n">
        <f aca="false">H32</f>
        <v>18085</v>
      </c>
      <c r="W32" s="11" t="n">
        <f aca="false">V32</f>
        <v>18085</v>
      </c>
    </row>
    <row r="33" customFormat="false" ht="13.9" hidden="false" customHeight="true" outlineLevel="0" collapsed="false">
      <c r="A33" s="30"/>
      <c r="B33" s="10" t="n">
        <v>121002</v>
      </c>
      <c r="C33" s="10" t="s">
        <v>39</v>
      </c>
      <c r="D33" s="11" t="n">
        <v>23137.6</v>
      </c>
      <c r="E33" s="11" t="n">
        <v>21816.37</v>
      </c>
      <c r="F33" s="11" t="n">
        <v>21816</v>
      </c>
      <c r="G33" s="11" t="n">
        <v>21430</v>
      </c>
      <c r="H33" s="11" t="n">
        <v>21430</v>
      </c>
      <c r="I33" s="11"/>
      <c r="J33" s="11"/>
      <c r="K33" s="11"/>
      <c r="L33" s="11"/>
      <c r="M33" s="11" t="n">
        <f aca="false">H33+SUM(I33:L33)</f>
        <v>21430</v>
      </c>
      <c r="N33" s="11" t="n">
        <v>2601.84</v>
      </c>
      <c r="O33" s="12" t="n">
        <f aca="false">N33/$M33</f>
        <v>0.121411105926272</v>
      </c>
      <c r="P33" s="11" t="n">
        <v>9097.61</v>
      </c>
      <c r="Q33" s="12" t="n">
        <f aca="false">P33/$M33</f>
        <v>0.424526831544564</v>
      </c>
      <c r="R33" s="11" t="n">
        <v>17036.43</v>
      </c>
      <c r="S33" s="12" t="n">
        <f aca="false">R33/$M33</f>
        <v>0.79498040130658</v>
      </c>
      <c r="T33" s="11" t="n">
        <v>23788.01</v>
      </c>
      <c r="U33" s="12" t="n">
        <f aca="false">T33/$M33</f>
        <v>1.11003313112459</v>
      </c>
      <c r="V33" s="11" t="n">
        <f aca="false">H33</f>
        <v>21430</v>
      </c>
      <c r="W33" s="11" t="n">
        <f aca="false">V33</f>
        <v>21430</v>
      </c>
    </row>
    <row r="34" customFormat="false" ht="13.9" hidden="false" customHeight="true" outlineLevel="0" collapsed="false">
      <c r="A34" s="30"/>
      <c r="B34" s="10" t="n">
        <v>121003</v>
      </c>
      <c r="C34" s="10" t="s">
        <v>40</v>
      </c>
      <c r="D34" s="11" t="n">
        <v>94.9</v>
      </c>
      <c r="E34" s="11" t="n">
        <v>100.18</v>
      </c>
      <c r="F34" s="11" t="n">
        <v>100</v>
      </c>
      <c r="G34" s="11" t="n">
        <v>100.25</v>
      </c>
      <c r="H34" s="11" t="n">
        <v>100</v>
      </c>
      <c r="I34" s="11"/>
      <c r="J34" s="11"/>
      <c r="K34" s="11"/>
      <c r="L34" s="11"/>
      <c r="M34" s="11" t="n">
        <f aca="false">H34+SUM(I34:L34)</f>
        <v>100</v>
      </c>
      <c r="N34" s="11" t="n">
        <v>0</v>
      </c>
      <c r="O34" s="12" t="n">
        <f aca="false">N34/$M34</f>
        <v>0</v>
      </c>
      <c r="P34" s="11" t="n">
        <v>18.97</v>
      </c>
      <c r="Q34" s="12" t="n">
        <f aca="false">P34/$M34</f>
        <v>0.1897</v>
      </c>
      <c r="R34" s="11" t="n">
        <v>93.75</v>
      </c>
      <c r="S34" s="12" t="n">
        <f aca="false">R34/$M34</f>
        <v>0.9375</v>
      </c>
      <c r="T34" s="11" t="n">
        <v>111.54</v>
      </c>
      <c r="U34" s="12" t="n">
        <f aca="false">T34/$M34</f>
        <v>1.1154</v>
      </c>
      <c r="V34" s="11" t="n">
        <f aca="false">H34</f>
        <v>100</v>
      </c>
      <c r="W34" s="11" t="n">
        <f aca="false">V34</f>
        <v>100</v>
      </c>
    </row>
    <row r="35" customFormat="false" ht="13.9" hidden="false" customHeight="true" outlineLevel="0" collapsed="false">
      <c r="A35" s="30"/>
      <c r="B35" s="10" t="n">
        <v>133001</v>
      </c>
      <c r="C35" s="10" t="s">
        <v>41</v>
      </c>
      <c r="D35" s="11" t="n">
        <v>2423.13</v>
      </c>
      <c r="E35" s="11" t="n">
        <v>2324.5</v>
      </c>
      <c r="F35" s="11" t="n">
        <v>2325</v>
      </c>
      <c r="G35" s="11" t="n">
        <v>2413.83</v>
      </c>
      <c r="H35" s="11" t="n">
        <v>2414</v>
      </c>
      <c r="I35" s="11"/>
      <c r="J35" s="11"/>
      <c r="K35" s="11"/>
      <c r="L35" s="11"/>
      <c r="M35" s="11" t="n">
        <f aca="false">H35+SUM(I35:L35)</f>
        <v>2414</v>
      </c>
      <c r="N35" s="11" t="n">
        <v>203.5</v>
      </c>
      <c r="O35" s="12" t="n">
        <f aca="false">N35/$M35</f>
        <v>0.0842999171499586</v>
      </c>
      <c r="P35" s="11" t="n">
        <v>1064.1</v>
      </c>
      <c r="Q35" s="12" t="n">
        <f aca="false">P35/$M35</f>
        <v>0.440803645401823</v>
      </c>
      <c r="R35" s="11" t="n">
        <v>2058.1</v>
      </c>
      <c r="S35" s="12" t="n">
        <f aca="false">R35/$M35</f>
        <v>0.852568351284176</v>
      </c>
      <c r="T35" s="11" t="n">
        <v>2578.1</v>
      </c>
      <c r="U35" s="12" t="n">
        <f aca="false">T35/$M35</f>
        <v>1.06797845898923</v>
      </c>
      <c r="V35" s="11" t="n">
        <f aca="false">H35</f>
        <v>2414</v>
      </c>
      <c r="W35" s="11" t="n">
        <f aca="false">V35</f>
        <v>2414</v>
      </c>
    </row>
    <row r="36" customFormat="false" ht="13.9" hidden="true" customHeight="true" outlineLevel="0" collapsed="false">
      <c r="A36" s="30"/>
      <c r="B36" s="10" t="n">
        <v>133003</v>
      </c>
      <c r="C36" s="10" t="s">
        <v>42</v>
      </c>
      <c r="D36" s="11" t="n">
        <v>0</v>
      </c>
      <c r="E36" s="11" t="n">
        <v>0</v>
      </c>
      <c r="F36" s="11" t="n">
        <v>0</v>
      </c>
      <c r="G36" s="11" t="n">
        <v>0</v>
      </c>
      <c r="H36" s="11" t="n">
        <v>0</v>
      </c>
      <c r="I36" s="11"/>
      <c r="J36" s="11"/>
      <c r="K36" s="11"/>
      <c r="L36" s="11"/>
      <c r="M36" s="11" t="n">
        <f aca="false">H36+SUM(I36:L36)</f>
        <v>0</v>
      </c>
      <c r="N36" s="11" t="n">
        <v>0</v>
      </c>
      <c r="O36" s="12" t="e">
        <f aca="false">N36/$M36</f>
        <v>#DIV/0!</v>
      </c>
      <c r="P36" s="11" t="n">
        <v>0</v>
      </c>
      <c r="Q36" s="12" t="e">
        <f aca="false">P36/$M36</f>
        <v>#DIV/0!</v>
      </c>
      <c r="R36" s="11" t="n">
        <v>0</v>
      </c>
      <c r="S36" s="12" t="e">
        <f aca="false">R36/$M36</f>
        <v>#DIV/0!</v>
      </c>
      <c r="T36" s="11" t="n">
        <v>0</v>
      </c>
      <c r="U36" s="12" t="e">
        <f aca="false">T36/$M36</f>
        <v>#DIV/0!</v>
      </c>
      <c r="V36" s="11" t="n">
        <f aca="false">H36</f>
        <v>0</v>
      </c>
      <c r="W36" s="11" t="n">
        <f aca="false">V36</f>
        <v>0</v>
      </c>
    </row>
    <row r="37" customFormat="false" ht="13.9" hidden="false" customHeight="true" outlineLevel="0" collapsed="false">
      <c r="A37" s="30"/>
      <c r="B37" s="10" t="n">
        <v>133006</v>
      </c>
      <c r="C37" s="10" t="s">
        <v>43</v>
      </c>
      <c r="D37" s="11" t="n">
        <v>400.2</v>
      </c>
      <c r="E37" s="11" t="n">
        <v>305.1</v>
      </c>
      <c r="F37" s="11" t="n">
        <v>305</v>
      </c>
      <c r="G37" s="11" t="n">
        <v>233.4</v>
      </c>
      <c r="H37" s="11" t="n">
        <v>233</v>
      </c>
      <c r="I37" s="11" t="n">
        <v>784</v>
      </c>
      <c r="J37" s="11"/>
      <c r="K37" s="11"/>
      <c r="L37" s="11"/>
      <c r="M37" s="11" t="n">
        <f aca="false">H37+SUM(I37:L37)</f>
        <v>1017</v>
      </c>
      <c r="N37" s="11" t="n">
        <v>726.3</v>
      </c>
      <c r="O37" s="12" t="n">
        <f aca="false">N37/$M37</f>
        <v>0.714159292035398</v>
      </c>
      <c r="P37" s="11" t="n">
        <v>852.3</v>
      </c>
      <c r="Q37" s="12" t="n">
        <f aca="false">P37/$M37</f>
        <v>0.838053097345133</v>
      </c>
      <c r="R37" s="11" t="n">
        <v>962.1</v>
      </c>
      <c r="S37" s="12" t="n">
        <f aca="false">R37/$M37</f>
        <v>0.946017699115044</v>
      </c>
      <c r="T37" s="11" t="n">
        <v>1169.1</v>
      </c>
      <c r="U37" s="12" t="n">
        <f aca="false">T37/$M37</f>
        <v>1.14955752212389</v>
      </c>
      <c r="V37" s="11" t="n">
        <f aca="false">H37</f>
        <v>233</v>
      </c>
      <c r="W37" s="11" t="n">
        <f aca="false">V37</f>
        <v>233</v>
      </c>
    </row>
    <row r="38" customFormat="false" ht="13.9" hidden="false" customHeight="true" outlineLevel="0" collapsed="false">
      <c r="A38" s="30"/>
      <c r="B38" s="10" t="n">
        <v>133012</v>
      </c>
      <c r="C38" s="10" t="s">
        <v>44</v>
      </c>
      <c r="D38" s="11" t="n">
        <v>2091.67</v>
      </c>
      <c r="E38" s="11" t="n">
        <v>852.1</v>
      </c>
      <c r="F38" s="11" t="n">
        <v>850</v>
      </c>
      <c r="G38" s="11" t="n">
        <v>1269.48</v>
      </c>
      <c r="H38" s="11" t="n">
        <v>1269</v>
      </c>
      <c r="I38" s="11"/>
      <c r="J38" s="11" t="n">
        <v>500</v>
      </c>
      <c r="K38" s="11"/>
      <c r="L38" s="11"/>
      <c r="M38" s="11" t="n">
        <f aca="false">H38+SUM(I38:L38)</f>
        <v>1769</v>
      </c>
      <c r="N38" s="11" t="n">
        <v>75.5</v>
      </c>
      <c r="O38" s="12" t="n">
        <f aca="false">N38/$M38</f>
        <v>0.0426794799321651</v>
      </c>
      <c r="P38" s="11" t="n">
        <v>1393.08</v>
      </c>
      <c r="Q38" s="12" t="n">
        <f aca="false">P38/$M38</f>
        <v>0.787495760316563</v>
      </c>
      <c r="R38" s="11" t="n">
        <v>1917.43</v>
      </c>
      <c r="S38" s="12" t="n">
        <f aca="false">R38/$M38</f>
        <v>1.08390616167326</v>
      </c>
      <c r="T38" s="11" t="n">
        <v>2243.43</v>
      </c>
      <c r="U38" s="12" t="n">
        <f aca="false">T38/$M38</f>
        <v>1.26819106840023</v>
      </c>
      <c r="V38" s="11" t="n">
        <f aca="false">H38</f>
        <v>1269</v>
      </c>
      <c r="W38" s="11" t="n">
        <f aca="false">V38</f>
        <v>1269</v>
      </c>
    </row>
    <row r="39" customFormat="false" ht="13.9" hidden="false" customHeight="true" outlineLevel="0" collapsed="false">
      <c r="A39" s="30"/>
      <c r="B39" s="10" t="n">
        <v>133013</v>
      </c>
      <c r="C39" s="10" t="s">
        <v>45</v>
      </c>
      <c r="D39" s="11" t="n">
        <v>53453.39</v>
      </c>
      <c r="E39" s="11" t="n">
        <v>58823.4</v>
      </c>
      <c r="F39" s="11" t="n">
        <v>71888</v>
      </c>
      <c r="G39" s="11" t="n">
        <v>70777.48</v>
      </c>
      <c r="H39" s="11" t="n">
        <v>70777</v>
      </c>
      <c r="I39" s="11"/>
      <c r="J39" s="11"/>
      <c r="K39" s="11"/>
      <c r="L39" s="11"/>
      <c r="M39" s="11" t="n">
        <f aca="false">H39+SUM(I39:L39)</f>
        <v>70777</v>
      </c>
      <c r="N39" s="11" t="n">
        <v>8985.58</v>
      </c>
      <c r="O39" s="12" t="n">
        <f aca="false">N39/$M39</f>
        <v>0.126956214589485</v>
      </c>
      <c r="P39" s="11" t="n">
        <v>32896.39</v>
      </c>
      <c r="Q39" s="12" t="n">
        <f aca="false">P39/$M39</f>
        <v>0.464789267699959</v>
      </c>
      <c r="R39" s="11" t="n">
        <v>59353.97</v>
      </c>
      <c r="S39" s="12" t="n">
        <f aca="false">R39/$M39</f>
        <v>0.838605337892253</v>
      </c>
      <c r="T39" s="11" t="n">
        <v>78247.95</v>
      </c>
      <c r="U39" s="12" t="n">
        <f aca="false">T39/$M39</f>
        <v>1.10555618350594</v>
      </c>
      <c r="V39" s="11" t="n">
        <f aca="false">H39</f>
        <v>70777</v>
      </c>
      <c r="W39" s="11" t="n">
        <f aca="false">V39</f>
        <v>70777</v>
      </c>
    </row>
    <row r="40" customFormat="false" ht="13.9" hidden="false" customHeight="true" outlineLevel="0" collapsed="false">
      <c r="A40" s="13" t="s">
        <v>21</v>
      </c>
      <c r="B40" s="13" t="n">
        <v>41</v>
      </c>
      <c r="C40" s="13" t="s">
        <v>23</v>
      </c>
      <c r="D40" s="14" t="n">
        <f aca="false">SUM(D31:D39)</f>
        <v>1197839.08</v>
      </c>
      <c r="E40" s="14" t="n">
        <f aca="false">SUM(E31:E39)</f>
        <v>1191500.53</v>
      </c>
      <c r="F40" s="14" t="n">
        <f aca="false">SUM(F31:F39)</f>
        <v>1190310</v>
      </c>
      <c r="G40" s="14" t="n">
        <f aca="false">SUM(G31:G39)</f>
        <v>1254961.66</v>
      </c>
      <c r="H40" s="14" t="n">
        <f aca="false">SUM(H31:H39)</f>
        <v>1300614</v>
      </c>
      <c r="I40" s="14" t="n">
        <f aca="false">SUM(I31:I39)</f>
        <v>784</v>
      </c>
      <c r="J40" s="14" t="n">
        <f aca="false">SUM(J31:J39)</f>
        <v>500</v>
      </c>
      <c r="K40" s="14" t="n">
        <f aca="false">SUM(K31:K39)</f>
        <v>0</v>
      </c>
      <c r="L40" s="14" t="n">
        <f aca="false">SUM(L31:L39)</f>
        <v>5874</v>
      </c>
      <c r="M40" s="14" t="n">
        <f aca="false">SUM(M31:M39)</f>
        <v>1307772</v>
      </c>
      <c r="N40" s="14" t="n">
        <f aca="false">SUM(N31:N39)</f>
        <v>378242.11</v>
      </c>
      <c r="O40" s="15" t="n">
        <f aca="false">N40/$M40</f>
        <v>0.289226340677121</v>
      </c>
      <c r="P40" s="14" t="n">
        <f aca="false">SUM(P31:P39)</f>
        <v>653125.9</v>
      </c>
      <c r="Q40" s="15" t="n">
        <f aca="false">P40/$M40</f>
        <v>0.499418782478903</v>
      </c>
      <c r="R40" s="14" t="n">
        <f aca="false">SUM(R31:R39)</f>
        <v>1017979.81</v>
      </c>
      <c r="S40" s="15" t="n">
        <f aca="false">R40/$M40</f>
        <v>0.778407711741802</v>
      </c>
      <c r="T40" s="14" t="n">
        <f aca="false">SUM(T31:T39)</f>
        <v>1369565.98</v>
      </c>
      <c r="U40" s="15" t="n">
        <f aca="false">T40/$M40</f>
        <v>1.04725134044772</v>
      </c>
      <c r="V40" s="14" t="n">
        <f aca="false">SUM(V31:V39)</f>
        <v>1398408</v>
      </c>
      <c r="W40" s="14" t="n">
        <f aca="false">SUM(W31:W39)</f>
        <v>1486361</v>
      </c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</row>
    <row r="42" customFormat="false" ht="13.9" hidden="false" customHeight="true" outlineLevel="0" collapsed="false">
      <c r="A42" s="19" t="s">
        <v>46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  <c r="P42" s="19"/>
      <c r="Q42" s="19"/>
      <c r="R42" s="19"/>
      <c r="S42" s="19"/>
      <c r="T42" s="19"/>
      <c r="U42" s="19"/>
      <c r="V42" s="19"/>
      <c r="W42" s="19"/>
    </row>
    <row r="43" customFormat="false" ht="13.9" hidden="false" customHeight="true" outlineLevel="0" collapsed="false">
      <c r="A43" s="6"/>
      <c r="B43" s="6"/>
      <c r="C43" s="6"/>
      <c r="D43" s="7" t="s">
        <v>1</v>
      </c>
      <c r="E43" s="7" t="s">
        <v>2</v>
      </c>
      <c r="F43" s="7" t="s">
        <v>3</v>
      </c>
      <c r="G43" s="7" t="s">
        <v>4</v>
      </c>
      <c r="H43" s="7" t="s">
        <v>5</v>
      </c>
      <c r="I43" s="7" t="s">
        <v>6</v>
      </c>
      <c r="J43" s="7" t="s">
        <v>7</v>
      </c>
      <c r="K43" s="7" t="s">
        <v>8</v>
      </c>
      <c r="L43" s="7" t="s">
        <v>9</v>
      </c>
      <c r="M43" s="7" t="s">
        <v>10</v>
      </c>
      <c r="N43" s="7" t="s">
        <v>11</v>
      </c>
      <c r="O43" s="8" t="s">
        <v>12</v>
      </c>
      <c r="P43" s="7" t="s">
        <v>13</v>
      </c>
      <c r="Q43" s="8" t="s">
        <v>14</v>
      </c>
      <c r="R43" s="7" t="s">
        <v>15</v>
      </c>
      <c r="S43" s="8" t="s">
        <v>16</v>
      </c>
      <c r="T43" s="7" t="s">
        <v>17</v>
      </c>
      <c r="U43" s="8" t="s">
        <v>18</v>
      </c>
      <c r="V43" s="7" t="s">
        <v>19</v>
      </c>
      <c r="W43" s="7" t="s">
        <v>20</v>
      </c>
    </row>
    <row r="44" customFormat="false" ht="13.9" hidden="false" customHeight="true" outlineLevel="0" collapsed="false">
      <c r="A44" s="21" t="s">
        <v>21</v>
      </c>
      <c r="B44" s="22" t="n">
        <v>111</v>
      </c>
      <c r="C44" s="22" t="s">
        <v>47</v>
      </c>
      <c r="D44" s="23" t="n">
        <f aca="false">D53</f>
        <v>0</v>
      </c>
      <c r="E44" s="23" t="n">
        <f aca="false">E53</f>
        <v>687.56</v>
      </c>
      <c r="F44" s="23" t="n">
        <f aca="false">F53</f>
        <v>4600</v>
      </c>
      <c r="G44" s="23" t="n">
        <f aca="false">G53</f>
        <v>5302.35</v>
      </c>
      <c r="H44" s="23" t="n">
        <f aca="false">H53</f>
        <v>0</v>
      </c>
      <c r="I44" s="23" t="n">
        <f aca="false">I53</f>
        <v>0</v>
      </c>
      <c r="J44" s="23" t="n">
        <f aca="false">J53</f>
        <v>237</v>
      </c>
      <c r="K44" s="23" t="n">
        <f aca="false">K53</f>
        <v>0</v>
      </c>
      <c r="L44" s="23" t="n">
        <f aca="false">L53</f>
        <v>0</v>
      </c>
      <c r="M44" s="23" t="n">
        <f aca="false">M53</f>
        <v>237</v>
      </c>
      <c r="N44" s="23" t="n">
        <f aca="false">N53</f>
        <v>206.84</v>
      </c>
      <c r="O44" s="24" t="n">
        <f aca="false">N44/$M44</f>
        <v>0.872742616033755</v>
      </c>
      <c r="P44" s="23" t="n">
        <f aca="false">P53</f>
        <v>236.74</v>
      </c>
      <c r="Q44" s="24" t="n">
        <f aca="false">P44/$M44</f>
        <v>0.998902953586498</v>
      </c>
      <c r="R44" s="23" t="n">
        <f aca="false">R53</f>
        <v>236.74</v>
      </c>
      <c r="S44" s="24" t="n">
        <f aca="false">R44/$M44</f>
        <v>0.998902953586498</v>
      </c>
      <c r="T44" s="23" t="n">
        <f aca="false">T53</f>
        <v>236.74</v>
      </c>
      <c r="U44" s="24" t="n">
        <f aca="false">T44/$M44</f>
        <v>0.998902953586498</v>
      </c>
      <c r="V44" s="23" t="n">
        <f aca="false">V53</f>
        <v>0</v>
      </c>
      <c r="W44" s="23" t="n">
        <f aca="false">W53</f>
        <v>0</v>
      </c>
    </row>
    <row r="45" customFormat="false" ht="13.9" hidden="false" customHeight="true" outlineLevel="0" collapsed="false">
      <c r="A45" s="21" t="s">
        <v>21</v>
      </c>
      <c r="B45" s="22" t="n">
        <v>41</v>
      </c>
      <c r="C45" s="22" t="s">
        <v>23</v>
      </c>
      <c r="D45" s="23" t="n">
        <f aca="false">D60</f>
        <v>122228.76</v>
      </c>
      <c r="E45" s="23" t="n">
        <f aca="false">E60</f>
        <v>112862.17</v>
      </c>
      <c r="F45" s="23" t="n">
        <f aca="false">F60</f>
        <v>108624</v>
      </c>
      <c r="G45" s="23" t="n">
        <f aca="false">G60</f>
        <v>92537.05</v>
      </c>
      <c r="H45" s="23" t="n">
        <f aca="false">H60</f>
        <v>88454</v>
      </c>
      <c r="I45" s="23" t="n">
        <f aca="false">I60</f>
        <v>6507</v>
      </c>
      <c r="J45" s="23" t="n">
        <f aca="false">J60</f>
        <v>500</v>
      </c>
      <c r="K45" s="23" t="n">
        <f aca="false">K60</f>
        <v>0</v>
      </c>
      <c r="L45" s="23" t="n">
        <f aca="false">L60</f>
        <v>-5030</v>
      </c>
      <c r="M45" s="23" t="n">
        <f aca="false">M60</f>
        <v>90431</v>
      </c>
      <c r="N45" s="23" t="n">
        <f aca="false">N60</f>
        <v>26099.62</v>
      </c>
      <c r="O45" s="24" t="n">
        <f aca="false">N45/$M45</f>
        <v>0.288613639128175</v>
      </c>
      <c r="P45" s="23" t="n">
        <f aca="false">P60</f>
        <v>46814.11</v>
      </c>
      <c r="Q45" s="24" t="n">
        <f aca="false">P45/$M45</f>
        <v>0.517677676902832</v>
      </c>
      <c r="R45" s="23" t="n">
        <f aca="false">R60</f>
        <v>70642.6</v>
      </c>
      <c r="S45" s="24" t="n">
        <f aca="false">R45/$M45</f>
        <v>0.781176808837677</v>
      </c>
      <c r="T45" s="23" t="n">
        <f aca="false">T60</f>
        <v>101771.75</v>
      </c>
      <c r="U45" s="24" t="n">
        <f aca="false">T45/$M45</f>
        <v>1.12540776945959</v>
      </c>
      <c r="V45" s="23" t="n">
        <f aca="false">V60</f>
        <v>88454</v>
      </c>
      <c r="W45" s="23" t="n">
        <f aca="false">W60</f>
        <v>88454</v>
      </c>
    </row>
    <row r="46" customFormat="false" ht="13.9" hidden="false" customHeight="true" outlineLevel="0" collapsed="false">
      <c r="A46" s="21"/>
      <c r="B46" s="22" t="n">
        <v>71</v>
      </c>
      <c r="C46" s="22" t="s">
        <v>24</v>
      </c>
      <c r="D46" s="23" t="n">
        <f aca="false">D62</f>
        <v>0</v>
      </c>
      <c r="E46" s="23" t="n">
        <f aca="false">E62</f>
        <v>0</v>
      </c>
      <c r="F46" s="23" t="n">
        <f aca="false">F62</f>
        <v>0</v>
      </c>
      <c r="G46" s="23" t="n">
        <f aca="false">G62</f>
        <v>0</v>
      </c>
      <c r="H46" s="23" t="n">
        <f aca="false">H62</f>
        <v>0</v>
      </c>
      <c r="I46" s="23" t="n">
        <f aca="false">I62</f>
        <v>0</v>
      </c>
      <c r="J46" s="23" t="n">
        <f aca="false">J62</f>
        <v>0</v>
      </c>
      <c r="K46" s="23" t="n">
        <f aca="false">K62</f>
        <v>700</v>
      </c>
      <c r="L46" s="23" t="n">
        <f aca="false">L62</f>
        <v>0</v>
      </c>
      <c r="M46" s="23" t="n">
        <f aca="false">M62</f>
        <v>700</v>
      </c>
      <c r="N46" s="23" t="n">
        <f aca="false">N62</f>
        <v>0</v>
      </c>
      <c r="O46" s="24" t="n">
        <f aca="false">N46/$M46</f>
        <v>0</v>
      </c>
      <c r="P46" s="23" t="n">
        <f aca="false">P62</f>
        <v>0</v>
      </c>
      <c r="Q46" s="24" t="n">
        <f aca="false">P46/$M46</f>
        <v>0</v>
      </c>
      <c r="R46" s="23" t="n">
        <f aca="false">R62</f>
        <v>700</v>
      </c>
      <c r="S46" s="24" t="n">
        <f aca="false">R46/$M46</f>
        <v>1</v>
      </c>
      <c r="T46" s="23" t="n">
        <f aca="false">T62</f>
        <v>700</v>
      </c>
      <c r="U46" s="24" t="n">
        <f aca="false">T46/$M46</f>
        <v>1</v>
      </c>
      <c r="V46" s="23" t="n">
        <f aca="false">V62</f>
        <v>0</v>
      </c>
      <c r="W46" s="23" t="n">
        <f aca="false">W62</f>
        <v>0</v>
      </c>
    </row>
    <row r="47" customFormat="false" ht="13.9" hidden="false" customHeight="true" outlineLevel="0" collapsed="false">
      <c r="A47" s="21"/>
      <c r="B47" s="22" t="n">
        <v>72</v>
      </c>
      <c r="C47" s="22" t="s">
        <v>25</v>
      </c>
      <c r="D47" s="23" t="n">
        <f aca="false">D65</f>
        <v>52949.59</v>
      </c>
      <c r="E47" s="23" t="n">
        <f aca="false">E65</f>
        <v>38665.82</v>
      </c>
      <c r="F47" s="23" t="n">
        <f aca="false">F65</f>
        <v>36973</v>
      </c>
      <c r="G47" s="23" t="n">
        <f aca="false">G65</f>
        <v>40297.71</v>
      </c>
      <c r="H47" s="23" t="n">
        <f aca="false">H65</f>
        <v>102140</v>
      </c>
      <c r="I47" s="23" t="n">
        <f aca="false">I65</f>
        <v>0</v>
      </c>
      <c r="J47" s="23" t="n">
        <f aca="false">J65</f>
        <v>765</v>
      </c>
      <c r="K47" s="23" t="n">
        <f aca="false">K65</f>
        <v>1100</v>
      </c>
      <c r="L47" s="23" t="n">
        <f aca="false">L65</f>
        <v>3000</v>
      </c>
      <c r="M47" s="23" t="n">
        <f aca="false">M65</f>
        <v>107005</v>
      </c>
      <c r="N47" s="23" t="n">
        <f aca="false">N65</f>
        <v>18230.09</v>
      </c>
      <c r="O47" s="24" t="n">
        <f aca="false">N47/$M47</f>
        <v>0.170366711835896</v>
      </c>
      <c r="P47" s="23" t="n">
        <f aca="false">P65</f>
        <v>38839.92</v>
      </c>
      <c r="Q47" s="24" t="n">
        <f aca="false">P47/$M47</f>
        <v>0.362972945189477</v>
      </c>
      <c r="R47" s="23" t="n">
        <f aca="false">R65</f>
        <v>54845.38</v>
      </c>
      <c r="S47" s="24" t="n">
        <f aca="false">R47/$M47</f>
        <v>0.512549693939536</v>
      </c>
      <c r="T47" s="23" t="n">
        <f aca="false">T65</f>
        <v>78085.18</v>
      </c>
      <c r="U47" s="24" t="n">
        <f aca="false">T47/$M47</f>
        <v>0.729733937666464</v>
      </c>
      <c r="V47" s="23" t="n">
        <f aca="false">V65</f>
        <v>102140</v>
      </c>
      <c r="W47" s="23" t="n">
        <f aca="false">W65</f>
        <v>102140</v>
      </c>
    </row>
    <row r="48" customFormat="false" ht="13.9" hidden="false" customHeight="true" outlineLevel="0" collapsed="false">
      <c r="A48" s="17"/>
      <c r="B48" s="18"/>
      <c r="C48" s="25" t="s">
        <v>30</v>
      </c>
      <c r="D48" s="26" t="n">
        <f aca="false">SUM(D44:D47)</f>
        <v>175178.35</v>
      </c>
      <c r="E48" s="26" t="n">
        <f aca="false">SUM(E44:E47)</f>
        <v>152215.55</v>
      </c>
      <c r="F48" s="26" t="n">
        <f aca="false">SUM(F44:F47)</f>
        <v>150197</v>
      </c>
      <c r="G48" s="26" t="n">
        <f aca="false">SUM(G44:G47)</f>
        <v>138137.11</v>
      </c>
      <c r="H48" s="26" t="n">
        <f aca="false">SUM(H44:H47)</f>
        <v>190594</v>
      </c>
      <c r="I48" s="26" t="n">
        <f aca="false">SUM(I44:I47)</f>
        <v>6507</v>
      </c>
      <c r="J48" s="26" t="n">
        <f aca="false">SUM(J44:J47)</f>
        <v>1502</v>
      </c>
      <c r="K48" s="26" t="n">
        <f aca="false">SUM(K44:K47)</f>
        <v>1800</v>
      </c>
      <c r="L48" s="26" t="n">
        <f aca="false">SUM(L44:L47)</f>
        <v>-2030</v>
      </c>
      <c r="M48" s="26" t="n">
        <f aca="false">SUM(M44:M47)</f>
        <v>198373</v>
      </c>
      <c r="N48" s="26" t="n">
        <f aca="false">SUM(N44:N47)</f>
        <v>44536.55</v>
      </c>
      <c r="O48" s="27" t="n">
        <f aca="false">N48/$M48</f>
        <v>0.224509131787088</v>
      </c>
      <c r="P48" s="26" t="n">
        <f aca="false">SUM(P44:P47)</f>
        <v>85890.77</v>
      </c>
      <c r="Q48" s="27" t="n">
        <f aca="false">P48/$M48</f>
        <v>0.432976110660221</v>
      </c>
      <c r="R48" s="26" t="n">
        <f aca="false">SUM(R44:R47)</f>
        <v>126424.72</v>
      </c>
      <c r="S48" s="27" t="n">
        <f aca="false">R48/$M48</f>
        <v>0.637308101404929</v>
      </c>
      <c r="T48" s="26" t="n">
        <f aca="false">SUM(T44:T47)</f>
        <v>180793.67</v>
      </c>
      <c r="U48" s="27" t="n">
        <f aca="false">T48/$M48</f>
        <v>0.911382446199836</v>
      </c>
      <c r="V48" s="26" t="n">
        <f aca="false">SUM(V44:V47)</f>
        <v>190594</v>
      </c>
      <c r="W48" s="26" t="n">
        <f aca="false">SUM(W44:W47)</f>
        <v>190594</v>
      </c>
    </row>
    <row r="50" customFormat="false" ht="13.9" hidden="false" customHeight="true" outlineLevel="0" collapsed="false">
      <c r="A50" s="28" t="s">
        <v>48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  <c r="P50" s="28"/>
      <c r="Q50" s="28"/>
      <c r="R50" s="28"/>
      <c r="S50" s="28"/>
      <c r="T50" s="28"/>
      <c r="U50" s="28"/>
      <c r="V50" s="28"/>
      <c r="W50" s="28"/>
    </row>
    <row r="51" customFormat="false" ht="13.9" hidden="false" customHeight="true" outlineLevel="0" collapsed="false">
      <c r="A51" s="7" t="s">
        <v>33</v>
      </c>
      <c r="B51" s="7" t="s">
        <v>34</v>
      </c>
      <c r="C51" s="7" t="s">
        <v>35</v>
      </c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8" t="s">
        <v>12</v>
      </c>
      <c r="P51" s="7" t="s">
        <v>13</v>
      </c>
      <c r="Q51" s="8" t="s">
        <v>14</v>
      </c>
      <c r="R51" s="7" t="s">
        <v>15</v>
      </c>
      <c r="S51" s="8" t="s">
        <v>16</v>
      </c>
      <c r="T51" s="7" t="s">
        <v>17</v>
      </c>
      <c r="U51" s="8" t="s">
        <v>18</v>
      </c>
      <c r="V51" s="7" t="s">
        <v>19</v>
      </c>
      <c r="W51" s="7" t="s">
        <v>20</v>
      </c>
    </row>
    <row r="52" customFormat="false" ht="13.9" hidden="false" customHeight="true" outlineLevel="0" collapsed="false">
      <c r="A52" s="32" t="s">
        <v>49</v>
      </c>
      <c r="B52" s="10" t="s">
        <v>50</v>
      </c>
      <c r="C52" s="10" t="s">
        <v>51</v>
      </c>
      <c r="D52" s="33" t="n">
        <v>0</v>
      </c>
      <c r="E52" s="33" t="n">
        <v>687.56</v>
      </c>
      <c r="F52" s="33" t="n">
        <v>4600</v>
      </c>
      <c r="G52" s="33" t="n">
        <v>5302.35</v>
      </c>
      <c r="H52" s="33" t="n">
        <v>0</v>
      </c>
      <c r="I52" s="33"/>
      <c r="J52" s="33" t="n">
        <v>237</v>
      </c>
      <c r="K52" s="33"/>
      <c r="L52" s="33"/>
      <c r="M52" s="33" t="n">
        <f aca="false">H52+SUM(I52:L52)</f>
        <v>237</v>
      </c>
      <c r="N52" s="33" t="n">
        <v>206.84</v>
      </c>
      <c r="O52" s="34" t="n">
        <f aca="false">N52/$M52</f>
        <v>0.872742616033755</v>
      </c>
      <c r="P52" s="33" t="n">
        <v>236.74</v>
      </c>
      <c r="Q52" s="34" t="n">
        <f aca="false">P52/$M52</f>
        <v>0.998902953586498</v>
      </c>
      <c r="R52" s="33" t="n">
        <v>236.74</v>
      </c>
      <c r="S52" s="34" t="n">
        <f aca="false">R52/$M52</f>
        <v>0.998902953586498</v>
      </c>
      <c r="T52" s="33" t="n">
        <v>236.74</v>
      </c>
      <c r="U52" s="34" t="n">
        <f aca="false">T52/$M52</f>
        <v>0.998902953586498</v>
      </c>
      <c r="V52" s="11" t="n">
        <f aca="false">H52</f>
        <v>0</v>
      </c>
      <c r="W52" s="11" t="n">
        <f aca="false">V52</f>
        <v>0</v>
      </c>
    </row>
    <row r="53" customFormat="false" ht="13.9" hidden="false" customHeight="true" outlineLevel="0" collapsed="false">
      <c r="A53" s="35" t="s">
        <v>21</v>
      </c>
      <c r="B53" s="35" t="n">
        <v>111</v>
      </c>
      <c r="C53" s="35" t="s">
        <v>47</v>
      </c>
      <c r="D53" s="36" t="n">
        <f aca="false">SUM(D52:D52)</f>
        <v>0</v>
      </c>
      <c r="E53" s="36" t="n">
        <f aca="false">SUM(E52:E52)</f>
        <v>687.56</v>
      </c>
      <c r="F53" s="36" t="n">
        <f aca="false">SUM(F52:F52)</f>
        <v>4600</v>
      </c>
      <c r="G53" s="36" t="n">
        <f aca="false">SUM(G52:G52)</f>
        <v>5302.35</v>
      </c>
      <c r="H53" s="36" t="n">
        <f aca="false">SUM(H52:H52)</f>
        <v>0</v>
      </c>
      <c r="I53" s="36" t="n">
        <f aca="false">SUM(I52:I52)</f>
        <v>0</v>
      </c>
      <c r="J53" s="36" t="n">
        <f aca="false">SUM(J52:J52)</f>
        <v>237</v>
      </c>
      <c r="K53" s="36" t="n">
        <f aca="false">SUM(K52:K52)</f>
        <v>0</v>
      </c>
      <c r="L53" s="36" t="n">
        <f aca="false">SUM(L52:L52)</f>
        <v>0</v>
      </c>
      <c r="M53" s="36" t="n">
        <f aca="false">SUM(M52:M52)</f>
        <v>237</v>
      </c>
      <c r="N53" s="36" t="n">
        <f aca="false">SUM(N52:N52)</f>
        <v>206.84</v>
      </c>
      <c r="O53" s="37" t="n">
        <f aca="false">N53/$M53</f>
        <v>0.872742616033755</v>
      </c>
      <c r="P53" s="36" t="n">
        <f aca="false">SUM(P52:P52)</f>
        <v>236.74</v>
      </c>
      <c r="Q53" s="37" t="n">
        <f aca="false">P53/$M53</f>
        <v>0.998902953586498</v>
      </c>
      <c r="R53" s="36" t="n">
        <f aca="false">SUM(R52:R52)</f>
        <v>236.74</v>
      </c>
      <c r="S53" s="37" t="n">
        <f aca="false">R53/$M53</f>
        <v>0.998902953586498</v>
      </c>
      <c r="T53" s="36" t="n">
        <f aca="false">SUM(T52:T52)</f>
        <v>236.74</v>
      </c>
      <c r="U53" s="37" t="n">
        <f aca="false">T53/$M53</f>
        <v>0.998902953586498</v>
      </c>
      <c r="V53" s="36" t="n">
        <f aca="false">SUM(V52:V52)</f>
        <v>0</v>
      </c>
      <c r="W53" s="36" t="n">
        <f aca="false">SUM(W52:W52)</f>
        <v>0</v>
      </c>
    </row>
    <row r="54" customFormat="false" ht="13.9" hidden="false" customHeight="true" outlineLevel="0" collapsed="false">
      <c r="A54" s="38" t="s">
        <v>49</v>
      </c>
      <c r="B54" s="10" t="n">
        <v>210</v>
      </c>
      <c r="C54" s="10" t="s">
        <v>52</v>
      </c>
      <c r="D54" s="11" t="n">
        <v>3657.2</v>
      </c>
      <c r="E54" s="11" t="n">
        <v>1674.8</v>
      </c>
      <c r="F54" s="11" t="n">
        <v>1670</v>
      </c>
      <c r="G54" s="11" t="n">
        <v>2024.84</v>
      </c>
      <c r="H54" s="11" t="n">
        <v>2025</v>
      </c>
      <c r="I54" s="11" t="n">
        <v>360</v>
      </c>
      <c r="J54" s="11"/>
      <c r="K54" s="11"/>
      <c r="L54" s="11"/>
      <c r="M54" s="11" t="n">
        <f aca="false">H54+SUM(I54:L54)</f>
        <v>2385</v>
      </c>
      <c r="N54" s="11" t="n">
        <v>1063.11</v>
      </c>
      <c r="O54" s="12" t="n">
        <f aca="false">N54/$M54</f>
        <v>0.445748427672956</v>
      </c>
      <c r="P54" s="11" t="n">
        <v>1524.01</v>
      </c>
      <c r="Q54" s="12" t="n">
        <f aca="false">P54/$M54</f>
        <v>0.638997903563941</v>
      </c>
      <c r="R54" s="11" t="n">
        <v>2446.71</v>
      </c>
      <c r="S54" s="12" t="n">
        <f aca="false">R54/$M54</f>
        <v>1.02587421383648</v>
      </c>
      <c r="T54" s="11" t="n">
        <v>3008.78</v>
      </c>
      <c r="U54" s="12" t="n">
        <f aca="false">T54/$M54</f>
        <v>1.2615429769392</v>
      </c>
      <c r="V54" s="11" t="n">
        <f aca="false">H54</f>
        <v>2025</v>
      </c>
      <c r="W54" s="11" t="n">
        <f aca="false">V54</f>
        <v>2025</v>
      </c>
    </row>
    <row r="55" customFormat="false" ht="13.9" hidden="false" customHeight="true" outlineLevel="0" collapsed="false">
      <c r="A55" s="38"/>
      <c r="B55" s="10" t="n">
        <v>220</v>
      </c>
      <c r="C55" s="10" t="s">
        <v>53</v>
      </c>
      <c r="D55" s="11" t="n">
        <v>101306.3</v>
      </c>
      <c r="E55" s="11" t="n">
        <v>96167.28</v>
      </c>
      <c r="F55" s="11" t="n">
        <v>79925</v>
      </c>
      <c r="G55" s="11" t="n">
        <v>59433.43</v>
      </c>
      <c r="H55" s="11" t="n">
        <v>80765</v>
      </c>
      <c r="I55" s="11" t="n">
        <v>710</v>
      </c>
      <c r="J55" s="11" t="n">
        <f aca="false">20+480</f>
        <v>500</v>
      </c>
      <c r="K55" s="11"/>
      <c r="L55" s="11" t="n">
        <v>-5030</v>
      </c>
      <c r="M55" s="11" t="n">
        <f aca="false">H55+SUM(I55:L55)</f>
        <v>76945</v>
      </c>
      <c r="N55" s="11" t="n">
        <v>18958.42</v>
      </c>
      <c r="O55" s="12" t="n">
        <f aca="false">N55/$M55</f>
        <v>0.246389239066866</v>
      </c>
      <c r="P55" s="11" t="n">
        <v>37287.78</v>
      </c>
      <c r="Q55" s="12" t="n">
        <f aca="false">P55/$M55</f>
        <v>0.484603028136981</v>
      </c>
      <c r="R55" s="11" t="n">
        <v>51766.87</v>
      </c>
      <c r="S55" s="12" t="n">
        <f aca="false">R55/$M55</f>
        <v>0.672777568393008</v>
      </c>
      <c r="T55" s="11" t="n">
        <v>76775.84</v>
      </c>
      <c r="U55" s="12" t="n">
        <f aca="false">T55/$M55</f>
        <v>0.997801546559231</v>
      </c>
      <c r="V55" s="11" t="n">
        <f aca="false">H55</f>
        <v>80765</v>
      </c>
      <c r="W55" s="11" t="n">
        <f aca="false">V55</f>
        <v>80765</v>
      </c>
    </row>
    <row r="56" customFormat="false" ht="13.9" hidden="false" customHeight="true" outlineLevel="0" collapsed="false">
      <c r="A56" s="38"/>
      <c r="B56" s="10" t="n">
        <v>230</v>
      </c>
      <c r="C56" s="10" t="s">
        <v>54</v>
      </c>
      <c r="D56" s="11" t="n">
        <v>1</v>
      </c>
      <c r="E56" s="11" t="n">
        <v>0</v>
      </c>
      <c r="F56" s="11" t="n">
        <v>0</v>
      </c>
      <c r="G56" s="11" t="n">
        <v>87.5</v>
      </c>
      <c r="H56" s="11" t="n">
        <v>0</v>
      </c>
      <c r="I56" s="11"/>
      <c r="J56" s="11"/>
      <c r="K56" s="11"/>
      <c r="L56" s="11"/>
      <c r="M56" s="11" t="n">
        <f aca="false">H56+SUM(I56:L56)</f>
        <v>0</v>
      </c>
      <c r="N56" s="11" t="n">
        <v>0</v>
      </c>
      <c r="O56" s="12" t="e">
        <f aca="false">N56/$M56</f>
        <v>#DIV/0!</v>
      </c>
      <c r="P56" s="11" t="n">
        <v>0</v>
      </c>
      <c r="Q56" s="12" t="e">
        <f aca="false">P56/$M56</f>
        <v>#DIV/0!</v>
      </c>
      <c r="R56" s="11" t="n">
        <v>6650</v>
      </c>
      <c r="S56" s="12" t="e">
        <f aca="false">R56/$M56</f>
        <v>#DIV/0!</v>
      </c>
      <c r="T56" s="11" t="n">
        <v>6650</v>
      </c>
      <c r="U56" s="12" t="e">
        <f aca="false">T56/$M56</f>
        <v>#DIV/0!</v>
      </c>
      <c r="V56" s="11" t="n">
        <f aca="false">H56</f>
        <v>0</v>
      </c>
      <c r="W56" s="11" t="n">
        <f aca="false">V56</f>
        <v>0</v>
      </c>
    </row>
    <row r="57" customFormat="false" ht="13.9" hidden="true" customHeight="true" outlineLevel="0" collapsed="false">
      <c r="A57" s="38"/>
      <c r="B57" s="10" t="n">
        <v>240</v>
      </c>
      <c r="C57" s="10" t="s">
        <v>55</v>
      </c>
      <c r="D57" s="11" t="n">
        <v>687</v>
      </c>
      <c r="E57" s="11" t="n">
        <v>124.55</v>
      </c>
      <c r="F57" s="11" t="n">
        <v>0</v>
      </c>
      <c r="G57" s="11" t="n">
        <v>0</v>
      </c>
      <c r="H57" s="11" t="n">
        <v>0</v>
      </c>
      <c r="I57" s="11"/>
      <c r="J57" s="11"/>
      <c r="K57" s="11"/>
      <c r="L57" s="11"/>
      <c r="M57" s="11" t="n">
        <f aca="false">H57+SUM(I57:L57)</f>
        <v>0</v>
      </c>
      <c r="N57" s="11" t="n">
        <v>0</v>
      </c>
      <c r="O57" s="12" t="e">
        <f aca="false">N57/$M57</f>
        <v>#DIV/0!</v>
      </c>
      <c r="P57" s="11" t="n">
        <v>0</v>
      </c>
      <c r="Q57" s="12" t="e">
        <f aca="false">P57/$M57</f>
        <v>#DIV/0!</v>
      </c>
      <c r="R57" s="11" t="n">
        <v>0</v>
      </c>
      <c r="S57" s="12" t="e">
        <f aca="false">R57/$M57</f>
        <v>#DIV/0!</v>
      </c>
      <c r="T57" s="11" t="n">
        <v>0</v>
      </c>
      <c r="U57" s="12" t="e">
        <f aca="false">T57/$M57</f>
        <v>#DIV/0!</v>
      </c>
      <c r="V57" s="11" t="n">
        <f aca="false">H57</f>
        <v>0</v>
      </c>
      <c r="W57" s="11" t="n">
        <f aca="false">V57</f>
        <v>0</v>
      </c>
    </row>
    <row r="58" customFormat="false" ht="13.9" hidden="false" customHeight="true" outlineLevel="0" collapsed="false">
      <c r="A58" s="38"/>
      <c r="B58" s="10" t="n">
        <v>290</v>
      </c>
      <c r="C58" s="10" t="s">
        <v>56</v>
      </c>
      <c r="D58" s="11" t="n">
        <v>16538.86</v>
      </c>
      <c r="E58" s="11" t="n">
        <v>14895.54</v>
      </c>
      <c r="F58" s="11" t="n">
        <v>27029</v>
      </c>
      <c r="G58" s="11" t="n">
        <v>30991.28</v>
      </c>
      <c r="H58" s="11" t="n">
        <v>5664</v>
      </c>
      <c r="I58" s="11" t="n">
        <f aca="false">904+4533</f>
        <v>5437</v>
      </c>
      <c r="J58" s="11"/>
      <c r="K58" s="11"/>
      <c r="L58" s="11"/>
      <c r="M58" s="11" t="n">
        <f aca="false">H58+SUM(I58:L58)</f>
        <v>11101</v>
      </c>
      <c r="N58" s="11" t="n">
        <v>6078.09</v>
      </c>
      <c r="O58" s="12" t="n">
        <f aca="false">N58/$M58</f>
        <v>0.54752634897757</v>
      </c>
      <c r="P58" s="11" t="n">
        <v>8002.32</v>
      </c>
      <c r="Q58" s="12" t="n">
        <f aca="false">P58/$M58</f>
        <v>0.72086478695613</v>
      </c>
      <c r="R58" s="11" t="n">
        <v>9779.02</v>
      </c>
      <c r="S58" s="12" t="n">
        <f aca="false">R58/$M58</f>
        <v>0.880913431222412</v>
      </c>
      <c r="T58" s="11" t="n">
        <v>15337.13</v>
      </c>
      <c r="U58" s="12" t="n">
        <f aca="false">T58/$M58</f>
        <v>1.38159895504909</v>
      </c>
      <c r="V58" s="11" t="n">
        <f aca="false">H58</f>
        <v>5664</v>
      </c>
      <c r="W58" s="11" t="n">
        <f aca="false">V58</f>
        <v>5664</v>
      </c>
    </row>
    <row r="59" customFormat="false" ht="13.9" hidden="true" customHeight="true" outlineLevel="0" collapsed="false">
      <c r="A59" s="38"/>
      <c r="B59" s="10" t="s">
        <v>50</v>
      </c>
      <c r="C59" s="10" t="s">
        <v>51</v>
      </c>
      <c r="D59" s="33" t="n">
        <v>38.4</v>
      </c>
      <c r="E59" s="33" t="n">
        <v>0</v>
      </c>
      <c r="F59" s="33" t="n">
        <v>0</v>
      </c>
      <c r="G59" s="33" t="n">
        <v>0</v>
      </c>
      <c r="H59" s="33" t="n">
        <v>0</v>
      </c>
      <c r="I59" s="33"/>
      <c r="J59" s="33"/>
      <c r="K59" s="33"/>
      <c r="L59" s="33"/>
      <c r="M59" s="33" t="n">
        <f aca="false">H59+SUM(I59:L59)</f>
        <v>0</v>
      </c>
      <c r="N59" s="33" t="n">
        <v>0</v>
      </c>
      <c r="O59" s="34" t="e">
        <f aca="false">N59/$M59</f>
        <v>#DIV/0!</v>
      </c>
      <c r="P59" s="33" t="n">
        <v>0</v>
      </c>
      <c r="Q59" s="34" t="e">
        <f aca="false">P59/$M59</f>
        <v>#DIV/0!</v>
      </c>
      <c r="R59" s="33" t="n">
        <v>0</v>
      </c>
      <c r="S59" s="34" t="e">
        <f aca="false">R59/$M59</f>
        <v>#DIV/0!</v>
      </c>
      <c r="T59" s="33" t="n">
        <v>0</v>
      </c>
      <c r="U59" s="34" t="e">
        <f aca="false">T59/$M59</f>
        <v>#DIV/0!</v>
      </c>
      <c r="V59" s="11" t="n">
        <f aca="false">H59</f>
        <v>0</v>
      </c>
      <c r="W59" s="11" t="n">
        <f aca="false">V59</f>
        <v>0</v>
      </c>
    </row>
    <row r="60" customFormat="false" ht="13.9" hidden="false" customHeight="true" outlineLevel="0" collapsed="false">
      <c r="A60" s="35" t="s">
        <v>21</v>
      </c>
      <c r="B60" s="35" t="n">
        <v>41</v>
      </c>
      <c r="C60" s="35" t="s">
        <v>23</v>
      </c>
      <c r="D60" s="36" t="n">
        <f aca="false">SUM(D54:D59)</f>
        <v>122228.76</v>
      </c>
      <c r="E60" s="36" t="n">
        <f aca="false">SUM(E54:E59)</f>
        <v>112862.17</v>
      </c>
      <c r="F60" s="36" t="n">
        <f aca="false">SUM(F54:F59)</f>
        <v>108624</v>
      </c>
      <c r="G60" s="36" t="n">
        <f aca="false">SUM(G54:G59)</f>
        <v>92537.05</v>
      </c>
      <c r="H60" s="36" t="n">
        <f aca="false">SUM(H54:H59)</f>
        <v>88454</v>
      </c>
      <c r="I60" s="36" t="n">
        <f aca="false">SUM(I54:I59)</f>
        <v>6507</v>
      </c>
      <c r="J60" s="36" t="n">
        <f aca="false">SUM(J54:J59)</f>
        <v>500</v>
      </c>
      <c r="K60" s="36" t="n">
        <f aca="false">SUM(K54:K59)</f>
        <v>0</v>
      </c>
      <c r="L60" s="36" t="n">
        <f aca="false">SUM(L54:L59)</f>
        <v>-5030</v>
      </c>
      <c r="M60" s="36" t="n">
        <f aca="false">SUM(M54:M59)</f>
        <v>90431</v>
      </c>
      <c r="N60" s="36" t="n">
        <f aca="false">SUM(N54:N59)</f>
        <v>26099.62</v>
      </c>
      <c r="O60" s="37" t="n">
        <f aca="false">N60/$M60</f>
        <v>0.288613639128175</v>
      </c>
      <c r="P60" s="36" t="n">
        <f aca="false">SUM(P54:P59)</f>
        <v>46814.11</v>
      </c>
      <c r="Q60" s="37" t="n">
        <f aca="false">P60/$M60</f>
        <v>0.517677676902832</v>
      </c>
      <c r="R60" s="36" t="n">
        <f aca="false">SUM(R54:R59)</f>
        <v>70642.6</v>
      </c>
      <c r="S60" s="37" t="n">
        <f aca="false">R60/$M60</f>
        <v>0.781176808837677</v>
      </c>
      <c r="T60" s="36" t="n">
        <f aca="false">SUM(T54:T59)</f>
        <v>101771.75</v>
      </c>
      <c r="U60" s="37" t="n">
        <f aca="false">T60/$M60</f>
        <v>1.12540776945959</v>
      </c>
      <c r="V60" s="36" t="n">
        <f aca="false">SUM(V54:V59)</f>
        <v>88454</v>
      </c>
      <c r="W60" s="36" t="n">
        <f aca="false">SUM(W54:W59)</f>
        <v>88454</v>
      </c>
    </row>
    <row r="61" customFormat="false" ht="13.9" hidden="false" customHeight="true" outlineLevel="0" collapsed="false">
      <c r="A61" s="10" t="s">
        <v>49</v>
      </c>
      <c r="B61" s="10" t="n">
        <v>290</v>
      </c>
      <c r="C61" s="10" t="s">
        <v>56</v>
      </c>
      <c r="D61" s="11" t="n">
        <v>0</v>
      </c>
      <c r="E61" s="11" t="n">
        <v>0</v>
      </c>
      <c r="F61" s="11" t="n">
        <v>0</v>
      </c>
      <c r="G61" s="11" t="n">
        <v>0</v>
      </c>
      <c r="H61" s="11" t="n">
        <v>0</v>
      </c>
      <c r="I61" s="11"/>
      <c r="J61" s="11"/>
      <c r="K61" s="11" t="n">
        <v>700</v>
      </c>
      <c r="L61" s="11"/>
      <c r="M61" s="33" t="n">
        <f aca="false">H61+SUM(I61:L61)</f>
        <v>700</v>
      </c>
      <c r="N61" s="11" t="n">
        <v>0</v>
      </c>
      <c r="O61" s="12" t="n">
        <f aca="false">N61/$M61</f>
        <v>0</v>
      </c>
      <c r="P61" s="11" t="n">
        <v>0</v>
      </c>
      <c r="Q61" s="12" t="n">
        <f aca="false">P61/$M61</f>
        <v>0</v>
      </c>
      <c r="R61" s="11" t="n">
        <v>700</v>
      </c>
      <c r="S61" s="12" t="n">
        <f aca="false">R61/$M61</f>
        <v>1</v>
      </c>
      <c r="T61" s="11" t="n">
        <v>700</v>
      </c>
      <c r="U61" s="12" t="n">
        <f aca="false">T61/$M61</f>
        <v>1</v>
      </c>
      <c r="V61" s="11" t="n">
        <v>0</v>
      </c>
      <c r="W61" s="11" t="n">
        <v>0</v>
      </c>
    </row>
    <row r="62" customFormat="false" ht="13.9" hidden="false" customHeight="true" outlineLevel="0" collapsed="false">
      <c r="A62" s="35" t="s">
        <v>21</v>
      </c>
      <c r="B62" s="35" t="n">
        <v>71</v>
      </c>
      <c r="C62" s="35" t="s">
        <v>24</v>
      </c>
      <c r="D62" s="36" t="n">
        <f aca="false">SUM(D61)</f>
        <v>0</v>
      </c>
      <c r="E62" s="36" t="n">
        <f aca="false">SUM(E61)</f>
        <v>0</v>
      </c>
      <c r="F62" s="36" t="n">
        <f aca="false">SUM(F61)</f>
        <v>0</v>
      </c>
      <c r="G62" s="36" t="n">
        <f aca="false">SUM(G61)</f>
        <v>0</v>
      </c>
      <c r="H62" s="36" t="n">
        <f aca="false">SUM(H61)</f>
        <v>0</v>
      </c>
      <c r="I62" s="36" t="n">
        <f aca="false">SUM(I61)</f>
        <v>0</v>
      </c>
      <c r="J62" s="36" t="n">
        <f aca="false">SUM(J61)</f>
        <v>0</v>
      </c>
      <c r="K62" s="36" t="n">
        <f aca="false">SUM(K61)</f>
        <v>700</v>
      </c>
      <c r="L62" s="36" t="n">
        <f aca="false">SUM(L61)</f>
        <v>0</v>
      </c>
      <c r="M62" s="36" t="n">
        <f aca="false">SUM(M61)</f>
        <v>700</v>
      </c>
      <c r="N62" s="36" t="n">
        <f aca="false">SUM(N61)</f>
        <v>0</v>
      </c>
      <c r="O62" s="37" t="n">
        <f aca="false">N62/$M62</f>
        <v>0</v>
      </c>
      <c r="P62" s="36" t="n">
        <f aca="false">SUM(P61)</f>
        <v>0</v>
      </c>
      <c r="Q62" s="37" t="n">
        <f aca="false">P62/$M62</f>
        <v>0</v>
      </c>
      <c r="R62" s="36" t="n">
        <f aca="false">SUM(R61)</f>
        <v>700</v>
      </c>
      <c r="S62" s="37" t="n">
        <f aca="false">R62/$M62</f>
        <v>1</v>
      </c>
      <c r="T62" s="36" t="n">
        <f aca="false">SUM(T61)</f>
        <v>700</v>
      </c>
      <c r="U62" s="37" t="n">
        <f aca="false">T62/$M62</f>
        <v>1</v>
      </c>
      <c r="V62" s="36" t="n">
        <f aca="false">SUM(V61)</f>
        <v>0</v>
      </c>
      <c r="W62" s="36" t="n">
        <f aca="false">SUM(W61)</f>
        <v>0</v>
      </c>
    </row>
    <row r="63" customFormat="false" ht="13.9" hidden="false" customHeight="true" outlineLevel="0" collapsed="false">
      <c r="A63" s="30" t="s">
        <v>49</v>
      </c>
      <c r="B63" s="10" t="n">
        <v>290</v>
      </c>
      <c r="C63" s="10" t="s">
        <v>56</v>
      </c>
      <c r="D63" s="11" t="n">
        <v>3931.55</v>
      </c>
      <c r="E63" s="11" t="n">
        <v>3485.89</v>
      </c>
      <c r="F63" s="11" t="n">
        <v>3486</v>
      </c>
      <c r="G63" s="11" t="n">
        <v>2809.12</v>
      </c>
      <c r="H63" s="11" t="n">
        <v>2800</v>
      </c>
      <c r="I63" s="11"/>
      <c r="J63" s="11"/>
      <c r="K63" s="11"/>
      <c r="L63" s="11"/>
      <c r="M63" s="11" t="n">
        <f aca="false">H63+SUM(I63:L63)</f>
        <v>2800</v>
      </c>
      <c r="N63" s="11" t="n">
        <v>536.32</v>
      </c>
      <c r="O63" s="12" t="n">
        <f aca="false">N63/$M63</f>
        <v>0.191542857142857</v>
      </c>
      <c r="P63" s="11" t="n">
        <v>1084.18</v>
      </c>
      <c r="Q63" s="12" t="n">
        <f aca="false">P63/$M63</f>
        <v>0.387207142857143</v>
      </c>
      <c r="R63" s="11" t="n">
        <v>1604.41</v>
      </c>
      <c r="S63" s="12" t="n">
        <f aca="false">R63/$M63</f>
        <v>0.573003571428572</v>
      </c>
      <c r="T63" s="11" t="n">
        <v>2332.57</v>
      </c>
      <c r="U63" s="12" t="n">
        <f aca="false">T63/$M63</f>
        <v>0.833060714285714</v>
      </c>
      <c r="V63" s="11" t="n">
        <f aca="false">H63</f>
        <v>2800</v>
      </c>
      <c r="W63" s="11" t="n">
        <f aca="false">V63</f>
        <v>2800</v>
      </c>
    </row>
    <row r="64" customFormat="false" ht="13.9" hidden="false" customHeight="true" outlineLevel="0" collapsed="false">
      <c r="A64" s="30"/>
      <c r="B64" s="10" t="s">
        <v>50</v>
      </c>
      <c r="C64" s="10" t="s">
        <v>51</v>
      </c>
      <c r="D64" s="11" t="n">
        <v>49018.04</v>
      </c>
      <c r="E64" s="11" t="n">
        <v>35179.93</v>
      </c>
      <c r="F64" s="33" t="n">
        <v>33487</v>
      </c>
      <c r="G64" s="33" t="n">
        <f aca="false">18288.59+19200</f>
        <v>37488.59</v>
      </c>
      <c r="H64" s="33" t="n">
        <v>99340</v>
      </c>
      <c r="I64" s="33"/>
      <c r="J64" s="33" t="n">
        <v>765</v>
      </c>
      <c r="K64" s="33" t="n">
        <v>1100</v>
      </c>
      <c r="L64" s="33" t="n">
        <v>3000</v>
      </c>
      <c r="M64" s="33" t="n">
        <f aca="false">H64+SUM(I64:L64)</f>
        <v>104205</v>
      </c>
      <c r="N64" s="33" t="n">
        <v>17693.77</v>
      </c>
      <c r="O64" s="34" t="n">
        <f aca="false">N64/$M64</f>
        <v>0.169797706444029</v>
      </c>
      <c r="P64" s="33" t="n">
        <v>37755.74</v>
      </c>
      <c r="Q64" s="34" t="n">
        <f aca="false">P64/$M64</f>
        <v>0.362321769588791</v>
      </c>
      <c r="R64" s="33" t="n">
        <v>53240.97</v>
      </c>
      <c r="S64" s="34" t="n">
        <f aca="false">R64/$M64</f>
        <v>0.510925291492731</v>
      </c>
      <c r="T64" s="33" t="n">
        <v>75752.61</v>
      </c>
      <c r="U64" s="34" t="n">
        <f aca="false">T64/$M64</f>
        <v>0.726957535626889</v>
      </c>
      <c r="V64" s="11" t="n">
        <f aca="false">H64</f>
        <v>99340</v>
      </c>
      <c r="W64" s="11" t="n">
        <f aca="false">V64</f>
        <v>99340</v>
      </c>
    </row>
    <row r="65" customFormat="false" ht="13.9" hidden="false" customHeight="true" outlineLevel="0" collapsed="false">
      <c r="A65" s="35" t="s">
        <v>21</v>
      </c>
      <c r="B65" s="35" t="n">
        <v>72</v>
      </c>
      <c r="C65" s="35" t="s">
        <v>25</v>
      </c>
      <c r="D65" s="36" t="n">
        <f aca="false">SUM(D63:D64)</f>
        <v>52949.59</v>
      </c>
      <c r="E65" s="36" t="n">
        <f aca="false">SUM(E63:E64)</f>
        <v>38665.82</v>
      </c>
      <c r="F65" s="36" t="n">
        <f aca="false">SUM(F63:F64)</f>
        <v>36973</v>
      </c>
      <c r="G65" s="36" t="n">
        <f aca="false">SUM(G63:G64)</f>
        <v>40297.71</v>
      </c>
      <c r="H65" s="36" t="n">
        <f aca="false">SUM(H63:H64)</f>
        <v>102140</v>
      </c>
      <c r="I65" s="36" t="n">
        <f aca="false">SUM(I63:I64)</f>
        <v>0</v>
      </c>
      <c r="J65" s="36" t="n">
        <f aca="false">SUM(J63:J64)</f>
        <v>765</v>
      </c>
      <c r="K65" s="36" t="n">
        <f aca="false">SUM(K63:K64)</f>
        <v>1100</v>
      </c>
      <c r="L65" s="36" t="n">
        <f aca="false">SUM(L63:L64)</f>
        <v>3000</v>
      </c>
      <c r="M65" s="36" t="n">
        <f aca="false">SUM(M63:M64)</f>
        <v>107005</v>
      </c>
      <c r="N65" s="36" t="n">
        <f aca="false">SUM(N63:N64)</f>
        <v>18230.09</v>
      </c>
      <c r="O65" s="37" t="n">
        <f aca="false">N65/$M65</f>
        <v>0.170366711835896</v>
      </c>
      <c r="P65" s="36" t="n">
        <f aca="false">SUM(P63:P64)</f>
        <v>38839.92</v>
      </c>
      <c r="Q65" s="37" t="n">
        <f aca="false">P65/$M65</f>
        <v>0.362972945189477</v>
      </c>
      <c r="R65" s="36" t="n">
        <f aca="false">SUM(R63:R64)</f>
        <v>54845.38</v>
      </c>
      <c r="S65" s="37" t="n">
        <f aca="false">R65/$M65</f>
        <v>0.512549693939536</v>
      </c>
      <c r="T65" s="36" t="n">
        <f aca="false">SUM(T63:T64)</f>
        <v>78085.18</v>
      </c>
      <c r="U65" s="37" t="n">
        <f aca="false">T65/$M65</f>
        <v>0.729733937666464</v>
      </c>
      <c r="V65" s="36" t="n">
        <f aca="false">SUM(V63:V64)</f>
        <v>102140</v>
      </c>
      <c r="W65" s="36" t="n">
        <f aca="false">SUM(W63:W64)</f>
        <v>102140</v>
      </c>
    </row>
    <row r="67" customFormat="false" ht="13.9" hidden="false" customHeight="true" outlineLevel="0" collapsed="false">
      <c r="B67" s="39" t="s">
        <v>57</v>
      </c>
      <c r="C67" s="17" t="s">
        <v>58</v>
      </c>
      <c r="D67" s="40" t="n">
        <v>3657.2</v>
      </c>
      <c r="E67" s="40" t="n">
        <v>1674.8</v>
      </c>
      <c r="F67" s="40" t="n">
        <v>1670</v>
      </c>
      <c r="G67" s="40" t="n">
        <v>2008.81</v>
      </c>
      <c r="H67" s="40" t="n">
        <v>2009</v>
      </c>
      <c r="I67" s="40"/>
      <c r="J67" s="40"/>
      <c r="K67" s="40"/>
      <c r="L67" s="40"/>
      <c r="M67" s="40" t="n">
        <f aca="false">H67+SUM(I67:L67)</f>
        <v>2009</v>
      </c>
      <c r="N67" s="40" t="n">
        <v>1063.11</v>
      </c>
      <c r="O67" s="41" t="n">
        <f aca="false">N67/$M67</f>
        <v>0.529173718267795</v>
      </c>
      <c r="P67" s="40" t="n">
        <v>1524.01</v>
      </c>
      <c r="Q67" s="41" t="n">
        <f aca="false">P67/$M67</f>
        <v>0.758591338974614</v>
      </c>
      <c r="R67" s="40" t="n">
        <v>2446.71</v>
      </c>
      <c r="S67" s="41" t="n">
        <f aca="false">R67/$M67</f>
        <v>1.21787456445993</v>
      </c>
      <c r="T67" s="40" t="n">
        <v>3008.78</v>
      </c>
      <c r="U67" s="42" t="n">
        <f aca="false">T67/$M67</f>
        <v>1.49765057242409</v>
      </c>
      <c r="V67" s="40" t="n">
        <f aca="false">H67</f>
        <v>2009</v>
      </c>
      <c r="W67" s="43" t="n">
        <f aca="false">V67</f>
        <v>2009</v>
      </c>
    </row>
    <row r="68" customFormat="false" ht="13.9" hidden="false" customHeight="true" outlineLevel="0" collapsed="false">
      <c r="B68" s="44"/>
      <c r="C68" s="45" t="s">
        <v>59</v>
      </c>
      <c r="D68" s="46" t="n">
        <v>8286.58</v>
      </c>
      <c r="E68" s="46" t="n">
        <v>7603</v>
      </c>
      <c r="F68" s="46" t="n">
        <v>7600</v>
      </c>
      <c r="G68" s="46" t="n">
        <v>6747.22</v>
      </c>
      <c r="H68" s="46" t="n">
        <v>6760</v>
      </c>
      <c r="I68" s="46"/>
      <c r="J68" s="46"/>
      <c r="K68" s="46"/>
      <c r="L68" s="46"/>
      <c r="M68" s="46" t="n">
        <f aca="false">H68+SUM(I68:L68)</f>
        <v>6760</v>
      </c>
      <c r="N68" s="46" t="n">
        <v>1554</v>
      </c>
      <c r="O68" s="2" t="n">
        <f aca="false">N68/$M68</f>
        <v>0.229881656804734</v>
      </c>
      <c r="P68" s="46" t="n">
        <v>4256.5</v>
      </c>
      <c r="Q68" s="2" t="n">
        <f aca="false">P68/$M68</f>
        <v>0.62965976331361</v>
      </c>
      <c r="R68" s="46" t="n">
        <v>6220.5</v>
      </c>
      <c r="S68" s="2" t="n">
        <f aca="false">R68/$M68</f>
        <v>0.920192307692308</v>
      </c>
      <c r="T68" s="46" t="n">
        <v>8042.5</v>
      </c>
      <c r="U68" s="47" t="n">
        <f aca="false">T68/$M68</f>
        <v>1.18971893491124</v>
      </c>
      <c r="V68" s="46" t="n">
        <f aca="false">H68</f>
        <v>6760</v>
      </c>
      <c r="W68" s="48" t="n">
        <f aca="false">V68</f>
        <v>6760</v>
      </c>
    </row>
    <row r="69" customFormat="false" ht="13.9" hidden="true" customHeight="true" outlineLevel="0" collapsed="false">
      <c r="B69" s="44"/>
      <c r="C69" s="45" t="s">
        <v>60</v>
      </c>
      <c r="D69" s="46" t="n">
        <v>6665.4</v>
      </c>
      <c r="E69" s="46" t="n">
        <v>0</v>
      </c>
      <c r="F69" s="46" t="n">
        <v>0</v>
      </c>
      <c r="G69" s="46" t="n">
        <v>0</v>
      </c>
      <c r="H69" s="46" t="n">
        <v>0</v>
      </c>
      <c r="I69" s="46"/>
      <c r="J69" s="46"/>
      <c r="K69" s="46"/>
      <c r="L69" s="46"/>
      <c r="M69" s="46" t="n">
        <f aca="false">H69+SUM(I69:L69)</f>
        <v>0</v>
      </c>
      <c r="N69" s="46" t="n">
        <v>0</v>
      </c>
      <c r="O69" s="2" t="e">
        <f aca="false">N69/$M69</f>
        <v>#DIV/0!</v>
      </c>
      <c r="P69" s="46" t="n">
        <v>0</v>
      </c>
      <c r="Q69" s="2" t="e">
        <f aca="false">P69/$M69</f>
        <v>#DIV/0!</v>
      </c>
      <c r="R69" s="46" t="n">
        <v>0</v>
      </c>
      <c r="S69" s="2" t="e">
        <f aca="false">R69/$M69</f>
        <v>#DIV/0!</v>
      </c>
      <c r="T69" s="46" t="n">
        <v>0</v>
      </c>
      <c r="U69" s="47" t="e">
        <f aca="false">T69/$M69</f>
        <v>#DIV/0!</v>
      </c>
      <c r="V69" s="46" t="n">
        <f aca="false">H69</f>
        <v>0</v>
      </c>
      <c r="W69" s="48" t="n">
        <f aca="false">V69</f>
        <v>0</v>
      </c>
    </row>
    <row r="70" customFormat="false" ht="13.9" hidden="false" customHeight="true" outlineLevel="0" collapsed="false">
      <c r="B70" s="44"/>
      <c r="C70" s="45" t="s">
        <v>61</v>
      </c>
      <c r="D70" s="46" t="n">
        <v>23556.21</v>
      </c>
      <c r="E70" s="46" t="n">
        <v>23890.61</v>
      </c>
      <c r="F70" s="46" t="n">
        <v>23890</v>
      </c>
      <c r="G70" s="46" t="n">
        <v>10724.52</v>
      </c>
      <c r="H70" s="46" t="n">
        <v>34615</v>
      </c>
      <c r="I70" s="46"/>
      <c r="J70" s="46"/>
      <c r="K70" s="46"/>
      <c r="L70" s="46"/>
      <c r="M70" s="46" t="n">
        <f aca="false">H70+SUM(I70:L70)</f>
        <v>34615</v>
      </c>
      <c r="N70" s="46" t="n">
        <v>7364.32</v>
      </c>
      <c r="O70" s="2" t="n">
        <f aca="false">N70/$M70</f>
        <v>0.21274938610429</v>
      </c>
      <c r="P70" s="46" t="n">
        <v>10307.86</v>
      </c>
      <c r="Q70" s="2" t="n">
        <f aca="false">P70/$M70</f>
        <v>0.297785930954788</v>
      </c>
      <c r="R70" s="46" t="n">
        <v>10999.66</v>
      </c>
      <c r="S70" s="2" t="n">
        <f aca="false">R70/$M70</f>
        <v>0.317771486349848</v>
      </c>
      <c r="T70" s="46" t="n">
        <v>22067.42</v>
      </c>
      <c r="U70" s="47" t="n">
        <f aca="false">T70/$M70</f>
        <v>0.637510327892532</v>
      </c>
      <c r="V70" s="46" t="n">
        <v>23890</v>
      </c>
      <c r="W70" s="48" t="n">
        <f aca="false">V70</f>
        <v>23890</v>
      </c>
    </row>
    <row r="71" customFormat="false" ht="13.9" hidden="false" customHeight="true" outlineLevel="0" collapsed="false">
      <c r="B71" s="44"/>
      <c r="C71" s="45" t="s">
        <v>62</v>
      </c>
      <c r="D71" s="49" t="n">
        <v>31962.73</v>
      </c>
      <c r="E71" s="49" t="n">
        <v>36930.67</v>
      </c>
      <c r="F71" s="49" t="n">
        <v>36930</v>
      </c>
      <c r="G71" s="49" t="n">
        <v>34337.33</v>
      </c>
      <c r="H71" s="49" t="n">
        <v>34350</v>
      </c>
      <c r="I71" s="49"/>
      <c r="J71" s="49"/>
      <c r="K71" s="49"/>
      <c r="L71" s="49"/>
      <c r="M71" s="49" t="n">
        <f aca="false">H71+SUM(I71:L71)</f>
        <v>34350</v>
      </c>
      <c r="N71" s="49" t="n">
        <v>9032.55</v>
      </c>
      <c r="O71" s="50" t="n">
        <f aca="false">N71/$M71</f>
        <v>0.262956331877729</v>
      </c>
      <c r="P71" s="49" t="n">
        <v>20150.59</v>
      </c>
      <c r="Q71" s="50" t="n">
        <f aca="false">P71/$M71</f>
        <v>0.586625618631732</v>
      </c>
      <c r="R71" s="49" t="n">
        <v>30859.93</v>
      </c>
      <c r="S71" s="50" t="n">
        <f aca="false">R71/$M71</f>
        <v>0.898396797671034</v>
      </c>
      <c r="T71" s="49" t="n">
        <v>41391.19</v>
      </c>
      <c r="U71" s="51" t="n">
        <f aca="false">T71/$M71</f>
        <v>1.20498369723435</v>
      </c>
      <c r="V71" s="46" t="n">
        <f aca="false">H71</f>
        <v>34350</v>
      </c>
      <c r="W71" s="48" t="n">
        <f aca="false">V71</f>
        <v>34350</v>
      </c>
    </row>
    <row r="72" customFormat="false" ht="13.9" hidden="true" customHeight="true" outlineLevel="0" collapsed="false">
      <c r="B72" s="44"/>
      <c r="C72" s="45" t="s">
        <v>63</v>
      </c>
      <c r="D72" s="49" t="n">
        <v>0</v>
      </c>
      <c r="E72" s="49" t="n">
        <v>15519.94</v>
      </c>
      <c r="F72" s="49" t="n">
        <v>0</v>
      </c>
      <c r="G72" s="49" t="n">
        <v>0</v>
      </c>
      <c r="H72" s="49" t="n">
        <v>0</v>
      </c>
      <c r="I72" s="49"/>
      <c r="J72" s="49"/>
      <c r="K72" s="49"/>
      <c r="L72" s="49"/>
      <c r="M72" s="49" t="n">
        <f aca="false">H72+SUM(I72:L72)</f>
        <v>0</v>
      </c>
      <c r="N72" s="49" t="n">
        <v>0</v>
      </c>
      <c r="O72" s="50" t="e">
        <f aca="false">N72/$M72</f>
        <v>#DIV/0!</v>
      </c>
      <c r="P72" s="49" t="n">
        <v>0</v>
      </c>
      <c r="Q72" s="50" t="e">
        <f aca="false">P72/$M72</f>
        <v>#DIV/0!</v>
      </c>
      <c r="R72" s="49" t="n">
        <v>0</v>
      </c>
      <c r="S72" s="50" t="e">
        <f aca="false">R72/$M72</f>
        <v>#DIV/0!</v>
      </c>
      <c r="T72" s="49" t="n">
        <v>0</v>
      </c>
      <c r="U72" s="51" t="e">
        <f aca="false">T72/$M72</f>
        <v>#DIV/0!</v>
      </c>
      <c r="V72" s="46" t="n">
        <v>0</v>
      </c>
      <c r="W72" s="48" t="n">
        <f aca="false">V72</f>
        <v>0</v>
      </c>
    </row>
    <row r="73" customFormat="false" ht="13.9" hidden="false" customHeight="true" outlineLevel="0" collapsed="false">
      <c r="B73" s="44"/>
      <c r="C73" s="45" t="s">
        <v>64</v>
      </c>
      <c r="D73" s="49" t="n">
        <v>15828.47</v>
      </c>
      <c r="E73" s="49" t="n">
        <v>1385</v>
      </c>
      <c r="F73" s="49" t="n">
        <v>500</v>
      </c>
      <c r="G73" s="49" t="n">
        <v>1208</v>
      </c>
      <c r="H73" s="49" t="n">
        <v>1200</v>
      </c>
      <c r="I73" s="49"/>
      <c r="J73" s="49"/>
      <c r="K73" s="49"/>
      <c r="L73" s="49"/>
      <c r="M73" s="49" t="n">
        <f aca="false">H73+SUM(I73:L73)</f>
        <v>1200</v>
      </c>
      <c r="N73" s="49" t="n">
        <v>130</v>
      </c>
      <c r="O73" s="50" t="n">
        <f aca="false">N73/$M73</f>
        <v>0.108333333333333</v>
      </c>
      <c r="P73" s="49" t="n">
        <v>305</v>
      </c>
      <c r="Q73" s="50" t="n">
        <f aca="false">P73/$M73</f>
        <v>0.254166666666667</v>
      </c>
      <c r="R73" s="49" t="n">
        <v>490</v>
      </c>
      <c r="S73" s="50" t="n">
        <f aca="false">R73/$M73</f>
        <v>0.408333333333333</v>
      </c>
      <c r="T73" s="49" t="n">
        <v>1195</v>
      </c>
      <c r="U73" s="51" t="n">
        <f aca="false">T73/$M73</f>
        <v>0.995833333333333</v>
      </c>
      <c r="V73" s="46" t="n">
        <v>0</v>
      </c>
      <c r="W73" s="48" t="n">
        <f aca="false">V73</f>
        <v>0</v>
      </c>
    </row>
    <row r="74" customFormat="false" ht="13.9" hidden="true" customHeight="true" outlineLevel="0" collapsed="false">
      <c r="B74" s="44"/>
      <c r="C74" s="45" t="s">
        <v>65</v>
      </c>
      <c r="D74" s="49" t="n">
        <v>5720</v>
      </c>
      <c r="E74" s="49" t="n">
        <v>4520</v>
      </c>
      <c r="F74" s="49" t="n">
        <v>4520</v>
      </c>
      <c r="G74" s="49" t="n">
        <v>2481</v>
      </c>
      <c r="H74" s="49" t="n">
        <v>0</v>
      </c>
      <c r="I74" s="49"/>
      <c r="J74" s="49"/>
      <c r="K74" s="49"/>
      <c r="L74" s="49"/>
      <c r="M74" s="49" t="n">
        <f aca="false">H74+SUM(I74:L74)</f>
        <v>0</v>
      </c>
      <c r="N74" s="49" t="n">
        <v>0</v>
      </c>
      <c r="O74" s="50" t="e">
        <f aca="false">N74/$M74</f>
        <v>#DIV/0!</v>
      </c>
      <c r="P74" s="49" t="n">
        <v>0</v>
      </c>
      <c r="Q74" s="50" t="e">
        <f aca="false">P74/$M74</f>
        <v>#DIV/0!</v>
      </c>
      <c r="R74" s="49" t="n">
        <v>0</v>
      </c>
      <c r="S74" s="50" t="e">
        <f aca="false">R74/$M74</f>
        <v>#DIV/0!</v>
      </c>
      <c r="T74" s="49" t="n">
        <v>0</v>
      </c>
      <c r="U74" s="51" t="e">
        <f aca="false">T74/$M74</f>
        <v>#DIV/0!</v>
      </c>
      <c r="V74" s="46" t="n">
        <f aca="false">H74</f>
        <v>0</v>
      </c>
      <c r="W74" s="48" t="n">
        <f aca="false">V74</f>
        <v>0</v>
      </c>
    </row>
    <row r="75" customFormat="false" ht="13.9" hidden="true" customHeight="true" outlineLevel="0" collapsed="false">
      <c r="B75" s="44"/>
      <c r="C75" s="45" t="s">
        <v>66</v>
      </c>
      <c r="D75" s="49" t="n">
        <v>662</v>
      </c>
      <c r="E75" s="49" t="n">
        <v>255</v>
      </c>
      <c r="F75" s="49" t="n">
        <v>255</v>
      </c>
      <c r="G75" s="49" t="n">
        <v>0</v>
      </c>
      <c r="H75" s="49" t="n">
        <v>0</v>
      </c>
      <c r="I75" s="49"/>
      <c r="J75" s="49"/>
      <c r="K75" s="49"/>
      <c r="L75" s="49"/>
      <c r="M75" s="49" t="n">
        <f aca="false">H75+SUM(I75:L75)</f>
        <v>0</v>
      </c>
      <c r="N75" s="49" t="n">
        <v>0</v>
      </c>
      <c r="O75" s="50" t="e">
        <f aca="false">N75/$M75</f>
        <v>#DIV/0!</v>
      </c>
      <c r="P75" s="49" t="n">
        <v>0</v>
      </c>
      <c r="Q75" s="50" t="e">
        <f aca="false">P75/$M75</f>
        <v>#DIV/0!</v>
      </c>
      <c r="R75" s="49" t="n">
        <v>0</v>
      </c>
      <c r="S75" s="50" t="e">
        <f aca="false">R75/$M75</f>
        <v>#DIV/0!</v>
      </c>
      <c r="T75" s="49" t="n">
        <v>0</v>
      </c>
      <c r="U75" s="51" t="e">
        <f aca="false">T75/$M75</f>
        <v>#DIV/0!</v>
      </c>
      <c r="V75" s="46" t="n">
        <f aca="false">H75</f>
        <v>0</v>
      </c>
      <c r="W75" s="48" t="n">
        <f aca="false">V75</f>
        <v>0</v>
      </c>
    </row>
    <row r="76" customFormat="false" ht="13.9" hidden="false" customHeight="true" outlineLevel="0" collapsed="false">
      <c r="B76" s="44"/>
      <c r="C76" s="45" t="s">
        <v>67</v>
      </c>
      <c r="D76" s="49"/>
      <c r="E76" s="49"/>
      <c r="F76" s="49" t="n">
        <v>4596</v>
      </c>
      <c r="G76" s="49" t="n">
        <v>4939.89</v>
      </c>
      <c r="H76" s="49" t="n">
        <v>0</v>
      </c>
      <c r="I76" s="49"/>
      <c r="J76" s="49"/>
      <c r="K76" s="49"/>
      <c r="L76" s="49"/>
      <c r="M76" s="49" t="n">
        <f aca="false">H76+SUM(I76:L76)</f>
        <v>0</v>
      </c>
      <c r="N76" s="49" t="n">
        <v>1017.91</v>
      </c>
      <c r="O76" s="50" t="e">
        <f aca="false">N76/$M76</f>
        <v>#DIV/0!</v>
      </c>
      <c r="P76" s="49" t="n">
        <v>1137.91</v>
      </c>
      <c r="Q76" s="50" t="e">
        <f aca="false">P76/$M76</f>
        <v>#DIV/0!</v>
      </c>
      <c r="R76" s="49" t="n">
        <v>1262.91</v>
      </c>
      <c r="S76" s="50" t="e">
        <f aca="false">R76/$M76</f>
        <v>#DIV/0!</v>
      </c>
      <c r="T76" s="49" t="n">
        <v>3111.51</v>
      </c>
      <c r="U76" s="51" t="e">
        <f aca="false">T76/$M76</f>
        <v>#DIV/0!</v>
      </c>
      <c r="V76" s="46" t="n">
        <v>0</v>
      </c>
      <c r="W76" s="48" t="n">
        <v>0</v>
      </c>
    </row>
    <row r="77" customFormat="false" ht="13.9" hidden="false" customHeight="true" outlineLevel="0" collapsed="false">
      <c r="B77" s="44"/>
      <c r="C77" s="45" t="s">
        <v>68</v>
      </c>
      <c r="D77" s="46" t="n">
        <v>5363.85</v>
      </c>
      <c r="E77" s="46" t="n">
        <v>5993.29</v>
      </c>
      <c r="F77" s="46" t="n">
        <v>11127</v>
      </c>
      <c r="G77" s="46" t="n">
        <v>12587.11</v>
      </c>
      <c r="H77" s="46" t="n">
        <v>0</v>
      </c>
      <c r="I77" s="46"/>
      <c r="J77" s="46"/>
      <c r="K77" s="46"/>
      <c r="L77" s="46"/>
      <c r="M77" s="46" t="n">
        <f aca="false">H77+SUM(I77:L77)</f>
        <v>0</v>
      </c>
      <c r="N77" s="46" t="n">
        <v>2784.63</v>
      </c>
      <c r="O77" s="2" t="e">
        <f aca="false">N77/$M77</f>
        <v>#DIV/0!</v>
      </c>
      <c r="P77" s="46" t="n">
        <v>3688.37</v>
      </c>
      <c r="Q77" s="2" t="e">
        <f aca="false">P77/$M77</f>
        <v>#DIV/0!</v>
      </c>
      <c r="R77" s="46" t="n">
        <v>4334.43</v>
      </c>
      <c r="S77" s="2" t="e">
        <f aca="false">R77/$M77</f>
        <v>#DIV/0!</v>
      </c>
      <c r="T77" s="46" t="n">
        <v>4334.43</v>
      </c>
      <c r="U77" s="47" t="e">
        <f aca="false">T77/$M77</f>
        <v>#DIV/0!</v>
      </c>
      <c r="V77" s="46" t="n">
        <v>0</v>
      </c>
      <c r="W77" s="48" t="n">
        <f aca="false">V77</f>
        <v>0</v>
      </c>
    </row>
    <row r="78" customFormat="false" ht="13.9" hidden="false" customHeight="true" outlineLevel="0" collapsed="false">
      <c r="B78" s="52"/>
      <c r="C78" s="53" t="s">
        <v>69</v>
      </c>
      <c r="D78" s="54" t="n">
        <v>10619.08</v>
      </c>
      <c r="E78" s="54" t="n">
        <v>8182.35</v>
      </c>
      <c r="F78" s="54" t="n">
        <v>8492</v>
      </c>
      <c r="G78" s="54" t="n">
        <v>7371.86</v>
      </c>
      <c r="H78" s="54" t="n">
        <v>4726</v>
      </c>
      <c r="I78" s="54"/>
      <c r="J78" s="54"/>
      <c r="K78" s="54"/>
      <c r="L78" s="54"/>
      <c r="M78" s="54" t="n">
        <f aca="false">H78+SUM(I78:L78)</f>
        <v>4726</v>
      </c>
      <c r="N78" s="54" t="n">
        <v>724</v>
      </c>
      <c r="O78" s="55" t="n">
        <f aca="false">N78/$M78</f>
        <v>0.153195090986035</v>
      </c>
      <c r="P78" s="54" t="n">
        <v>1613</v>
      </c>
      <c r="Q78" s="55" t="n">
        <f aca="false">P78/$M78</f>
        <v>0.341303427845959</v>
      </c>
      <c r="R78" s="54" t="n">
        <v>2474</v>
      </c>
      <c r="S78" s="55" t="n">
        <f aca="false">R78/$M78</f>
        <v>0.523487092678798</v>
      </c>
      <c r="T78" s="54" t="n">
        <v>6397.91</v>
      </c>
      <c r="U78" s="56" t="n">
        <f aca="false">T78/$M78</f>
        <v>1.35376851460008</v>
      </c>
      <c r="V78" s="54" t="n">
        <f aca="false">H78</f>
        <v>4726</v>
      </c>
      <c r="W78" s="57" t="n">
        <f aca="false">V78</f>
        <v>4726</v>
      </c>
    </row>
    <row r="80" customFormat="false" ht="13.9" hidden="false" customHeight="true" outlineLevel="0" collapsed="false">
      <c r="A80" s="19" t="s">
        <v>70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20"/>
      <c r="P80" s="19"/>
      <c r="Q80" s="19"/>
      <c r="R80" s="19"/>
      <c r="S80" s="19"/>
      <c r="T80" s="19"/>
      <c r="U80" s="19"/>
      <c r="V80" s="19"/>
      <c r="W80" s="19"/>
    </row>
    <row r="81" customFormat="false" ht="13.9" hidden="false" customHeight="true" outlineLevel="0" collapsed="false">
      <c r="A81" s="6"/>
      <c r="B81" s="6"/>
      <c r="C81" s="6"/>
      <c r="D81" s="7" t="s">
        <v>1</v>
      </c>
      <c r="E81" s="7" t="s">
        <v>2</v>
      </c>
      <c r="F81" s="7" t="s">
        <v>3</v>
      </c>
      <c r="G81" s="7" t="s">
        <v>4</v>
      </c>
      <c r="H81" s="7" t="s">
        <v>5</v>
      </c>
      <c r="I81" s="7" t="s">
        <v>6</v>
      </c>
      <c r="J81" s="7" t="s">
        <v>7</v>
      </c>
      <c r="K81" s="7" t="s">
        <v>8</v>
      </c>
      <c r="L81" s="7" t="s">
        <v>9</v>
      </c>
      <c r="M81" s="7" t="s">
        <v>10</v>
      </c>
      <c r="N81" s="7" t="s">
        <v>11</v>
      </c>
      <c r="O81" s="8" t="s">
        <v>12</v>
      </c>
      <c r="P81" s="7" t="s">
        <v>13</v>
      </c>
      <c r="Q81" s="8" t="s">
        <v>14</v>
      </c>
      <c r="R81" s="7" t="s">
        <v>15</v>
      </c>
      <c r="S81" s="8" t="s">
        <v>16</v>
      </c>
      <c r="T81" s="7" t="s">
        <v>17</v>
      </c>
      <c r="U81" s="8" t="s">
        <v>18</v>
      </c>
      <c r="V81" s="7" t="s">
        <v>19</v>
      </c>
      <c r="W81" s="7" t="s">
        <v>20</v>
      </c>
    </row>
    <row r="82" customFormat="false" ht="13.9" hidden="false" customHeight="true" outlineLevel="0" collapsed="false">
      <c r="A82" s="21" t="s">
        <v>21</v>
      </c>
      <c r="B82" s="22" t="n">
        <v>111</v>
      </c>
      <c r="C82" s="22" t="s">
        <v>22</v>
      </c>
      <c r="D82" s="58" t="n">
        <f aca="false">D121</f>
        <v>1593522.9</v>
      </c>
      <c r="E82" s="58" t="n">
        <f aca="false">E121</f>
        <v>712245.14</v>
      </c>
      <c r="F82" s="58" t="n">
        <f aca="false">F121</f>
        <v>1163658</v>
      </c>
      <c r="G82" s="58" t="n">
        <f aca="false">G121</f>
        <v>822855.04</v>
      </c>
      <c r="H82" s="58" t="n">
        <f aca="false">H121</f>
        <v>986591</v>
      </c>
      <c r="I82" s="58" t="n">
        <f aca="false">I121</f>
        <v>12493</v>
      </c>
      <c r="J82" s="58" t="n">
        <f aca="false">J121</f>
        <v>31299</v>
      </c>
      <c r="K82" s="58" t="n">
        <f aca="false">K121</f>
        <v>52585</v>
      </c>
      <c r="L82" s="58" t="n">
        <f aca="false">L121</f>
        <v>34423</v>
      </c>
      <c r="M82" s="58" t="n">
        <f aca="false">M121</f>
        <v>1117391</v>
      </c>
      <c r="N82" s="58" t="n">
        <f aca="false">N121</f>
        <v>178070.63</v>
      </c>
      <c r="O82" s="59" t="n">
        <f aca="false">N82/$M82</f>
        <v>0.159362864028796</v>
      </c>
      <c r="P82" s="58" t="n">
        <f aca="false">P121</f>
        <v>470199.17</v>
      </c>
      <c r="Q82" s="59" t="n">
        <f aca="false">P82/$M82</f>
        <v>0.420800928233716</v>
      </c>
      <c r="R82" s="58" t="n">
        <f aca="false">R121</f>
        <v>704068.35</v>
      </c>
      <c r="S82" s="59" t="n">
        <f aca="false">R82/$M82</f>
        <v>0.630100251389174</v>
      </c>
      <c r="T82" s="58" t="n">
        <f aca="false">T121</f>
        <v>946857.87</v>
      </c>
      <c r="U82" s="59" t="n">
        <f aca="false">T82/$M82</f>
        <v>0.847382760376627</v>
      </c>
      <c r="V82" s="58" t="n">
        <f aca="false">V121</f>
        <v>634763</v>
      </c>
      <c r="W82" s="58" t="n">
        <f aca="false">W121</f>
        <v>640842</v>
      </c>
    </row>
    <row r="83" customFormat="false" ht="13.9" hidden="false" customHeight="true" outlineLevel="0" collapsed="false">
      <c r="A83" s="21" t="s">
        <v>21</v>
      </c>
      <c r="B83" s="22" t="n">
        <v>71</v>
      </c>
      <c r="C83" s="22" t="s">
        <v>24</v>
      </c>
      <c r="D83" s="23" t="n">
        <f aca="false">D123</f>
        <v>1400</v>
      </c>
      <c r="E83" s="23" t="n">
        <f aca="false">E123</f>
        <v>1400</v>
      </c>
      <c r="F83" s="23" t="n">
        <f aca="false">F123</f>
        <v>3000</v>
      </c>
      <c r="G83" s="23" t="n">
        <f aca="false">G123</f>
        <v>3000</v>
      </c>
      <c r="H83" s="23" t="n">
        <f aca="false">H123</f>
        <v>3000</v>
      </c>
      <c r="I83" s="23" t="n">
        <f aca="false">I123</f>
        <v>0</v>
      </c>
      <c r="J83" s="23" t="n">
        <f aca="false">J123</f>
        <v>0</v>
      </c>
      <c r="K83" s="23" t="n">
        <f aca="false">K123</f>
        <v>0</v>
      </c>
      <c r="L83" s="23" t="n">
        <f aca="false">L123</f>
        <v>0</v>
      </c>
      <c r="M83" s="23" t="n">
        <f aca="false">M123</f>
        <v>3000</v>
      </c>
      <c r="N83" s="23" t="n">
        <f aca="false">N123</f>
        <v>0</v>
      </c>
      <c r="O83" s="24" t="n">
        <f aca="false">N83/$M83</f>
        <v>0</v>
      </c>
      <c r="P83" s="23" t="n">
        <f aca="false">P123</f>
        <v>3000</v>
      </c>
      <c r="Q83" s="24" t="n">
        <f aca="false">P83/$M83</f>
        <v>1</v>
      </c>
      <c r="R83" s="23" t="n">
        <f aca="false">R123</f>
        <v>3000</v>
      </c>
      <c r="S83" s="24" t="n">
        <f aca="false">R83/$M83</f>
        <v>1</v>
      </c>
      <c r="T83" s="23" t="n">
        <f aca="false">T123</f>
        <v>3000</v>
      </c>
      <c r="U83" s="24" t="n">
        <f aca="false">T83/$M83</f>
        <v>1</v>
      </c>
      <c r="V83" s="23" t="n">
        <f aca="false">V123</f>
        <v>3000</v>
      </c>
      <c r="W83" s="23" t="n">
        <f aca="false">W123</f>
        <v>3000</v>
      </c>
    </row>
    <row r="84" customFormat="false" ht="13.9" hidden="false" customHeight="true" outlineLevel="0" collapsed="false">
      <c r="A84" s="21" t="s">
        <v>21</v>
      </c>
      <c r="B84" s="22" t="n">
        <v>72</v>
      </c>
      <c r="C84" s="22" t="s">
        <v>25</v>
      </c>
      <c r="D84" s="23" t="n">
        <f aca="false">D126</f>
        <v>5707.4</v>
      </c>
      <c r="E84" s="23" t="n">
        <f aca="false">E126</f>
        <v>5430.66</v>
      </c>
      <c r="F84" s="23" t="n">
        <f aca="false">F126</f>
        <v>4948</v>
      </c>
      <c r="G84" s="23" t="n">
        <f aca="false">G126</f>
        <v>2602.29</v>
      </c>
      <c r="H84" s="23" t="n">
        <f aca="false">H126</f>
        <v>3800</v>
      </c>
      <c r="I84" s="23" t="n">
        <f aca="false">I126</f>
        <v>0</v>
      </c>
      <c r="J84" s="23" t="n">
        <f aca="false">J126</f>
        <v>0</v>
      </c>
      <c r="K84" s="23" t="n">
        <f aca="false">K126</f>
        <v>0</v>
      </c>
      <c r="L84" s="23" t="n">
        <f aca="false">L126</f>
        <v>548</v>
      </c>
      <c r="M84" s="23" t="n">
        <f aca="false">M126</f>
        <v>4348</v>
      </c>
      <c r="N84" s="23" t="n">
        <f aca="false">N126</f>
        <v>0</v>
      </c>
      <c r="O84" s="24" t="n">
        <f aca="false">N84/$M84</f>
        <v>0</v>
      </c>
      <c r="P84" s="23" t="n">
        <f aca="false">P126</f>
        <v>367.41</v>
      </c>
      <c r="Q84" s="24" t="n">
        <f aca="false">P84/$M84</f>
        <v>0.0845009199632015</v>
      </c>
      <c r="R84" s="23" t="n">
        <f aca="false">R126</f>
        <v>386.31</v>
      </c>
      <c r="S84" s="24" t="n">
        <f aca="false">R84/$M84</f>
        <v>0.0888477460901564</v>
      </c>
      <c r="T84" s="23" t="n">
        <f aca="false">T126</f>
        <v>4347.14</v>
      </c>
      <c r="U84" s="24" t="n">
        <f aca="false">T84/$M84</f>
        <v>0.999802207911684</v>
      </c>
      <c r="V84" s="23" t="n">
        <f aca="false">V126</f>
        <v>3800</v>
      </c>
      <c r="W84" s="23" t="n">
        <f aca="false">W126</f>
        <v>3800</v>
      </c>
    </row>
    <row r="85" customFormat="false" ht="13.9" hidden="false" customHeight="true" outlineLevel="0" collapsed="false">
      <c r="A85" s="17"/>
      <c r="B85" s="18"/>
      <c r="C85" s="25" t="s">
        <v>30</v>
      </c>
      <c r="D85" s="26" t="n">
        <f aca="false">SUM(D82:D84)</f>
        <v>1600630.3</v>
      </c>
      <c r="E85" s="26" t="n">
        <f aca="false">SUM(E82:E84)</f>
        <v>719075.8</v>
      </c>
      <c r="F85" s="26" t="n">
        <f aca="false">SUM(F82:F84)</f>
        <v>1171606</v>
      </c>
      <c r="G85" s="26" t="n">
        <f aca="false">SUM(G82:G84)</f>
        <v>828457.33</v>
      </c>
      <c r="H85" s="26" t="n">
        <f aca="false">SUM(H82:H84)</f>
        <v>993391</v>
      </c>
      <c r="I85" s="26" t="n">
        <f aca="false">SUM(I82:I84)</f>
        <v>12493</v>
      </c>
      <c r="J85" s="26" t="n">
        <f aca="false">SUM(J82:J84)</f>
        <v>31299</v>
      </c>
      <c r="K85" s="26" t="n">
        <f aca="false">SUM(K82:K84)</f>
        <v>52585</v>
      </c>
      <c r="L85" s="26" t="n">
        <f aca="false">SUM(L82:L84)</f>
        <v>34971</v>
      </c>
      <c r="M85" s="26" t="n">
        <f aca="false">SUM(M82:M84)</f>
        <v>1124739</v>
      </c>
      <c r="N85" s="26" t="n">
        <f aca="false">SUM(N82:N84)</f>
        <v>178070.63</v>
      </c>
      <c r="O85" s="27" t="n">
        <f aca="false">N85/$M85</f>
        <v>0.158321735086985</v>
      </c>
      <c r="P85" s="26" t="n">
        <f aca="false">SUM(P82:P84)</f>
        <v>473566.58</v>
      </c>
      <c r="Q85" s="27" t="n">
        <f aca="false">P85/$M85</f>
        <v>0.421045753725976</v>
      </c>
      <c r="R85" s="26" t="n">
        <f aca="false">SUM(R82:R84)</f>
        <v>707454.66</v>
      </c>
      <c r="S85" s="27" t="n">
        <f aca="false">R85/$M85</f>
        <v>0.628994513393774</v>
      </c>
      <c r="T85" s="26" t="n">
        <f aca="false">SUM(T82:T84)</f>
        <v>954205.01</v>
      </c>
      <c r="U85" s="27" t="n">
        <f aca="false">T85/$M85</f>
        <v>0.848379055051883</v>
      </c>
      <c r="V85" s="26" t="n">
        <f aca="false">SUM(V82:V84)</f>
        <v>641563</v>
      </c>
      <c r="W85" s="26" t="n">
        <f aca="false">SUM(W82:W84)</f>
        <v>647642</v>
      </c>
    </row>
    <row r="87" customFormat="false" ht="13.9" hidden="false" customHeight="true" outlineLevel="0" collapsed="false">
      <c r="A87" s="60" t="s">
        <v>71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/>
      <c r="P87" s="60"/>
      <c r="Q87" s="60"/>
      <c r="R87" s="60"/>
      <c r="S87" s="60"/>
      <c r="T87" s="60"/>
      <c r="U87" s="60"/>
      <c r="V87" s="60"/>
      <c r="W87" s="60"/>
    </row>
    <row r="88" customFormat="false" ht="13.9" hidden="false" customHeight="true" outlineLevel="0" collapsed="false">
      <c r="A88" s="7" t="s">
        <v>33</v>
      </c>
      <c r="B88" s="7" t="s">
        <v>34</v>
      </c>
      <c r="C88" s="7" t="s">
        <v>35</v>
      </c>
      <c r="D88" s="7" t="s">
        <v>1</v>
      </c>
      <c r="E88" s="7" t="s">
        <v>2</v>
      </c>
      <c r="F88" s="7" t="s">
        <v>3</v>
      </c>
      <c r="G88" s="7" t="s">
        <v>4</v>
      </c>
      <c r="H88" s="7" t="s">
        <v>5</v>
      </c>
      <c r="I88" s="7" t="s">
        <v>6</v>
      </c>
      <c r="J88" s="7" t="s">
        <v>7</v>
      </c>
      <c r="K88" s="7" t="s">
        <v>8</v>
      </c>
      <c r="L88" s="7" t="s">
        <v>9</v>
      </c>
      <c r="M88" s="7" t="s">
        <v>10</v>
      </c>
      <c r="N88" s="7" t="s">
        <v>11</v>
      </c>
      <c r="O88" s="8" t="s">
        <v>12</v>
      </c>
      <c r="P88" s="7" t="s">
        <v>13</v>
      </c>
      <c r="Q88" s="8" t="s">
        <v>14</v>
      </c>
      <c r="R88" s="7" t="s">
        <v>15</v>
      </c>
      <c r="S88" s="8" t="s">
        <v>16</v>
      </c>
      <c r="T88" s="7" t="s">
        <v>17</v>
      </c>
      <c r="U88" s="8" t="s">
        <v>18</v>
      </c>
      <c r="V88" s="7" t="s">
        <v>19</v>
      </c>
      <c r="W88" s="7" t="s">
        <v>20</v>
      </c>
    </row>
    <row r="89" customFormat="false" ht="13.9" hidden="false" customHeight="true" outlineLevel="0" collapsed="false">
      <c r="A89" s="62" t="s">
        <v>49</v>
      </c>
      <c r="B89" s="10" t="n">
        <v>312001</v>
      </c>
      <c r="C89" s="10" t="s">
        <v>72</v>
      </c>
      <c r="D89" s="63" t="n">
        <v>465138</v>
      </c>
      <c r="E89" s="64" t="n">
        <v>519878</v>
      </c>
      <c r="F89" s="64" t="n">
        <v>507277</v>
      </c>
      <c r="G89" s="64" t="n">
        <v>518262</v>
      </c>
      <c r="H89" s="64" t="n">
        <v>508735</v>
      </c>
      <c r="I89" s="64"/>
      <c r="J89" s="64"/>
      <c r="K89" s="64" t="n">
        <v>41425</v>
      </c>
      <c r="L89" s="64" t="n">
        <v>24510</v>
      </c>
      <c r="M89" s="64" t="n">
        <f aca="false">H89+SUM(I89:L89)</f>
        <v>574670</v>
      </c>
      <c r="N89" s="64" t="n">
        <v>125228</v>
      </c>
      <c r="O89" s="65" t="n">
        <f aca="false">N89/$M89</f>
        <v>0.217912889136374</v>
      </c>
      <c r="P89" s="64" t="n">
        <v>250457</v>
      </c>
      <c r="Q89" s="65" t="n">
        <f aca="false">P89/$M89</f>
        <v>0.435827518401865</v>
      </c>
      <c r="R89" s="64" t="n">
        <v>388595</v>
      </c>
      <c r="S89" s="65" t="n">
        <f aca="false">R89/$M89</f>
        <v>0.676205474446204</v>
      </c>
      <c r="T89" s="64" t="n">
        <v>572208</v>
      </c>
      <c r="U89" s="65" t="n">
        <f aca="false">T89/$M89</f>
        <v>0.995715802112517</v>
      </c>
      <c r="V89" s="63" t="n">
        <f aca="false">H89</f>
        <v>508735</v>
      </c>
      <c r="W89" s="63" t="n">
        <f aca="false">V89</f>
        <v>508735</v>
      </c>
    </row>
    <row r="90" customFormat="false" ht="13.9" hidden="false" customHeight="true" outlineLevel="0" collapsed="false">
      <c r="A90" s="62"/>
      <c r="B90" s="10" t="n">
        <v>312001</v>
      </c>
      <c r="C90" s="10" t="s">
        <v>73</v>
      </c>
      <c r="D90" s="63" t="n">
        <v>1800</v>
      </c>
      <c r="E90" s="64" t="n">
        <v>1850</v>
      </c>
      <c r="F90" s="64" t="n">
        <v>1950</v>
      </c>
      <c r="G90" s="64" t="n">
        <v>1800</v>
      </c>
      <c r="H90" s="64" t="n">
        <v>1800</v>
      </c>
      <c r="I90" s="64"/>
      <c r="J90" s="64" t="n">
        <v>450</v>
      </c>
      <c r="K90" s="64" t="n">
        <v>720</v>
      </c>
      <c r="L90" s="64" t="n">
        <v>420</v>
      </c>
      <c r="M90" s="64" t="n">
        <f aca="false">H90+SUM(I90:L90)</f>
        <v>3390</v>
      </c>
      <c r="N90" s="64" t="n">
        <v>1450</v>
      </c>
      <c r="O90" s="65" t="n">
        <f aca="false">N90/$M90</f>
        <v>0.427728613569322</v>
      </c>
      <c r="P90" s="64" t="n">
        <v>1000</v>
      </c>
      <c r="Q90" s="65" t="n">
        <f aca="false">P90/$M90</f>
        <v>0.294985250737463</v>
      </c>
      <c r="R90" s="64" t="n">
        <v>1720</v>
      </c>
      <c r="S90" s="65" t="n">
        <f aca="false">R90/$M90</f>
        <v>0.507374631268437</v>
      </c>
      <c r="T90" s="64" t="n">
        <v>2220</v>
      </c>
      <c r="U90" s="65" t="n">
        <f aca="false">T90/$M90</f>
        <v>0.654867256637168</v>
      </c>
      <c r="V90" s="63" t="n">
        <f aca="false">H90</f>
        <v>1800</v>
      </c>
      <c r="W90" s="63" t="n">
        <f aca="false">V90</f>
        <v>1800</v>
      </c>
    </row>
    <row r="91" customFormat="false" ht="13.9" hidden="false" customHeight="true" outlineLevel="0" collapsed="false">
      <c r="A91" s="62"/>
      <c r="B91" s="10" t="n">
        <v>312001</v>
      </c>
      <c r="C91" s="10" t="s">
        <v>74</v>
      </c>
      <c r="D91" s="63" t="n">
        <v>9610</v>
      </c>
      <c r="E91" s="64" t="n">
        <v>19507</v>
      </c>
      <c r="F91" s="64" t="n">
        <v>19507</v>
      </c>
      <c r="G91" s="64" t="n">
        <v>19507</v>
      </c>
      <c r="H91" s="64" t="n">
        <v>19500</v>
      </c>
      <c r="I91" s="64"/>
      <c r="J91" s="64"/>
      <c r="K91" s="64"/>
      <c r="L91" s="64" t="n">
        <v>305</v>
      </c>
      <c r="M91" s="64" t="n">
        <f aca="false">H91+SUM(I91:L91)</f>
        <v>19805</v>
      </c>
      <c r="N91" s="64" t="n">
        <v>6502</v>
      </c>
      <c r="O91" s="65" t="n">
        <f aca="false">N91/$M91</f>
        <v>0.328300934107549</v>
      </c>
      <c r="P91" s="64" t="n">
        <v>13004</v>
      </c>
      <c r="Q91" s="65" t="n">
        <f aca="false">P91/$M91</f>
        <v>0.656601868215097</v>
      </c>
      <c r="R91" s="64" t="n">
        <v>19805</v>
      </c>
      <c r="S91" s="65" t="n">
        <f aca="false">R91/$M91</f>
        <v>1</v>
      </c>
      <c r="T91" s="64" t="n">
        <v>19805</v>
      </c>
      <c r="U91" s="65" t="n">
        <f aca="false">T91/$M91</f>
        <v>1</v>
      </c>
      <c r="V91" s="63" t="n">
        <f aca="false">H91</f>
        <v>19500</v>
      </c>
      <c r="W91" s="63" t="n">
        <f aca="false">V91</f>
        <v>19500</v>
      </c>
    </row>
    <row r="92" customFormat="false" ht="13.9" hidden="false" customHeight="true" outlineLevel="0" collapsed="false">
      <c r="A92" s="62"/>
      <c r="B92" s="10" t="n">
        <v>312001</v>
      </c>
      <c r="C92" s="10" t="s">
        <v>75</v>
      </c>
      <c r="D92" s="63" t="n">
        <v>5875</v>
      </c>
      <c r="E92" s="64" t="n">
        <v>5741</v>
      </c>
      <c r="F92" s="64" t="n">
        <v>5280</v>
      </c>
      <c r="G92" s="64" t="n">
        <v>5958</v>
      </c>
      <c r="H92" s="64" t="n">
        <v>5900</v>
      </c>
      <c r="I92" s="64"/>
      <c r="J92" s="64"/>
      <c r="K92" s="64"/>
      <c r="L92" s="64"/>
      <c r="M92" s="64" t="n">
        <f aca="false">H92+SUM(I92:L92)</f>
        <v>5900</v>
      </c>
      <c r="N92" s="64" t="n">
        <v>2093</v>
      </c>
      <c r="O92" s="65" t="n">
        <f aca="false">N92/$M92</f>
        <v>0.354745762711864</v>
      </c>
      <c r="P92" s="64" t="n">
        <v>4185</v>
      </c>
      <c r="Q92" s="65" t="n">
        <f aca="false">P92/$M92</f>
        <v>0.709322033898305</v>
      </c>
      <c r="R92" s="64" t="n">
        <v>4185</v>
      </c>
      <c r="S92" s="65" t="n">
        <f aca="false">R92/$M92</f>
        <v>0.709322033898305</v>
      </c>
      <c r="T92" s="64" t="n">
        <v>6938</v>
      </c>
      <c r="U92" s="65" t="n">
        <f aca="false">T92/$M92</f>
        <v>1.17593220338983</v>
      </c>
      <c r="V92" s="63" t="n">
        <f aca="false">H92</f>
        <v>5900</v>
      </c>
      <c r="W92" s="63" t="n">
        <f aca="false">V92</f>
        <v>5900</v>
      </c>
    </row>
    <row r="93" customFormat="false" ht="13.9" hidden="false" customHeight="true" outlineLevel="0" collapsed="false">
      <c r="A93" s="62"/>
      <c r="B93" s="10" t="n">
        <v>312001</v>
      </c>
      <c r="C93" s="10" t="s">
        <v>76</v>
      </c>
      <c r="D93" s="63" t="n">
        <v>31550.4</v>
      </c>
      <c r="E93" s="64" t="n">
        <v>40885.2</v>
      </c>
      <c r="F93" s="64" t="n">
        <v>41955</v>
      </c>
      <c r="G93" s="64" t="n">
        <v>42145</v>
      </c>
      <c r="H93" s="64" t="n">
        <v>10000</v>
      </c>
      <c r="I93" s="64"/>
      <c r="J93" s="64"/>
      <c r="K93" s="64"/>
      <c r="L93" s="64"/>
      <c r="M93" s="64" t="n">
        <f aca="false">H93+SUM(I93:L93)</f>
        <v>10000</v>
      </c>
      <c r="N93" s="64" t="n">
        <v>5787.6</v>
      </c>
      <c r="O93" s="65" t="n">
        <f aca="false">N93/$M93</f>
        <v>0.57876</v>
      </c>
      <c r="P93" s="64" t="n">
        <v>5787.6</v>
      </c>
      <c r="Q93" s="65" t="n">
        <f aca="false">P93/$M93</f>
        <v>0.57876</v>
      </c>
      <c r="R93" s="64" t="n">
        <v>5787.6</v>
      </c>
      <c r="S93" s="65" t="n">
        <f aca="false">R93/$M93</f>
        <v>0.57876</v>
      </c>
      <c r="T93" s="64" t="n">
        <v>5787.6</v>
      </c>
      <c r="U93" s="65" t="n">
        <f aca="false">T93/$M93</f>
        <v>0.57876</v>
      </c>
      <c r="V93" s="63" t="n">
        <f aca="false">H93</f>
        <v>10000</v>
      </c>
      <c r="W93" s="63" t="n">
        <f aca="false">V93</f>
        <v>10000</v>
      </c>
    </row>
    <row r="94" customFormat="false" ht="13.9" hidden="false" customHeight="true" outlineLevel="0" collapsed="false">
      <c r="A94" s="62"/>
      <c r="B94" s="10" t="n">
        <v>312001</v>
      </c>
      <c r="C94" s="10" t="s">
        <v>77</v>
      </c>
      <c r="D94" s="63" t="n">
        <v>464.8</v>
      </c>
      <c r="E94" s="64" t="n">
        <v>514.6</v>
      </c>
      <c r="F94" s="64" t="n">
        <v>515</v>
      </c>
      <c r="G94" s="64" t="n">
        <v>365.2</v>
      </c>
      <c r="H94" s="64" t="n">
        <v>365</v>
      </c>
      <c r="I94" s="64"/>
      <c r="J94" s="64"/>
      <c r="K94" s="64"/>
      <c r="L94" s="64"/>
      <c r="M94" s="64" t="n">
        <f aca="false">H94+SUM(I94:L94)</f>
        <v>365</v>
      </c>
      <c r="N94" s="64" t="n">
        <v>232.4</v>
      </c>
      <c r="O94" s="65" t="n">
        <f aca="false">N94/$M94</f>
        <v>0.636712328767123</v>
      </c>
      <c r="P94" s="64" t="n">
        <v>232.4</v>
      </c>
      <c r="Q94" s="65" t="n">
        <f aca="false">P94/$M94</f>
        <v>0.636712328767123</v>
      </c>
      <c r="R94" s="64" t="n">
        <v>415</v>
      </c>
      <c r="S94" s="65" t="n">
        <f aca="false">R94/$M94</f>
        <v>1.13698630136986</v>
      </c>
      <c r="T94" s="64" t="n">
        <v>415</v>
      </c>
      <c r="U94" s="65" t="n">
        <f aca="false">T94/$M94</f>
        <v>1.13698630136986</v>
      </c>
      <c r="V94" s="63" t="n">
        <f aca="false">H94</f>
        <v>365</v>
      </c>
      <c r="W94" s="63" t="n">
        <f aca="false">V94</f>
        <v>365</v>
      </c>
    </row>
    <row r="95" customFormat="false" ht="13.9" hidden="false" customHeight="true" outlineLevel="0" collapsed="false">
      <c r="A95" s="62"/>
      <c r="B95" s="10" t="n">
        <v>312001</v>
      </c>
      <c r="C95" s="10" t="s">
        <v>78</v>
      </c>
      <c r="D95" s="63" t="n">
        <v>10838</v>
      </c>
      <c r="E95" s="64" t="n">
        <v>15596</v>
      </c>
      <c r="F95" s="64" t="n">
        <v>7879</v>
      </c>
      <c r="G95" s="64" t="n">
        <v>20506</v>
      </c>
      <c r="H95" s="64" t="n">
        <v>6700</v>
      </c>
      <c r="I95" s="64"/>
      <c r="J95" s="64" t="n">
        <f aca="false">4266+11000+3756+376</f>
        <v>19398</v>
      </c>
      <c r="K95" s="64"/>
      <c r="L95" s="64"/>
      <c r="M95" s="64" t="n">
        <f aca="false">H95+SUM(I95:L95)</f>
        <v>26098</v>
      </c>
      <c r="N95" s="64" t="n">
        <v>11000</v>
      </c>
      <c r="O95" s="65" t="n">
        <f aca="false">N95/$M95</f>
        <v>0.421488236646486</v>
      </c>
      <c r="P95" s="64" t="n">
        <v>22542</v>
      </c>
      <c r="Q95" s="65" t="n">
        <f aca="false">P95/$M95</f>
        <v>0.863744348225918</v>
      </c>
      <c r="R95" s="64" t="n">
        <v>25542</v>
      </c>
      <c r="S95" s="65" t="n">
        <f aca="false">R95/$M95</f>
        <v>0.978695685493141</v>
      </c>
      <c r="T95" s="64" t="n">
        <f aca="false">9960+14756+376+450</f>
        <v>25542</v>
      </c>
      <c r="U95" s="65" t="n">
        <f aca="false">T95/$M95</f>
        <v>0.978695685493141</v>
      </c>
      <c r="V95" s="63" t="n">
        <f aca="false">H95</f>
        <v>6700</v>
      </c>
      <c r="W95" s="63" t="n">
        <f aca="false">V95</f>
        <v>6700</v>
      </c>
    </row>
    <row r="96" customFormat="false" ht="13.9" hidden="false" customHeight="true" outlineLevel="0" collapsed="false">
      <c r="A96" s="62"/>
      <c r="B96" s="10" t="n">
        <v>312001</v>
      </c>
      <c r="C96" s="10" t="s">
        <v>79</v>
      </c>
      <c r="D96" s="63" t="n">
        <v>4524</v>
      </c>
      <c r="E96" s="64" t="n">
        <v>4534</v>
      </c>
      <c r="F96" s="64" t="n">
        <v>6002</v>
      </c>
      <c r="G96" s="64" t="n">
        <v>9055</v>
      </c>
      <c r="H96" s="64" t="n">
        <v>4653</v>
      </c>
      <c r="I96" s="64"/>
      <c r="J96" s="64" t="n">
        <v>5450</v>
      </c>
      <c r="K96" s="64"/>
      <c r="L96" s="64" t="n">
        <v>5870</v>
      </c>
      <c r="M96" s="64" t="n">
        <f aca="false">H96+SUM(I96:L96)</f>
        <v>15973</v>
      </c>
      <c r="N96" s="64" t="n">
        <v>5053</v>
      </c>
      <c r="O96" s="65" t="n">
        <f aca="false">N96/$M96</f>
        <v>0.316346334439366</v>
      </c>
      <c r="P96" s="64" t="n">
        <v>10105</v>
      </c>
      <c r="Q96" s="65" t="n">
        <f aca="false">P96/$M96</f>
        <v>0.632630063231704</v>
      </c>
      <c r="R96" s="64" t="n">
        <v>10105</v>
      </c>
      <c r="S96" s="65" t="n">
        <f aca="false">R96/$M96</f>
        <v>0.632630063231704</v>
      </c>
      <c r="T96" s="64" t="n">
        <v>15975</v>
      </c>
      <c r="U96" s="65" t="n">
        <f aca="false">T96/$M96</f>
        <v>1.00012521129406</v>
      </c>
      <c r="V96" s="63" t="n">
        <f aca="false">H96</f>
        <v>4653</v>
      </c>
      <c r="W96" s="63" t="n">
        <f aca="false">V96</f>
        <v>4653</v>
      </c>
    </row>
    <row r="97" customFormat="false" ht="13.9" hidden="false" customHeight="true" outlineLevel="0" collapsed="false">
      <c r="A97" s="62"/>
      <c r="B97" s="10" t="n">
        <v>312001</v>
      </c>
      <c r="C97" s="10" t="s">
        <v>80</v>
      </c>
      <c r="D97" s="63" t="n">
        <v>973</v>
      </c>
      <c r="E97" s="64" t="n">
        <v>998</v>
      </c>
      <c r="F97" s="64" t="n">
        <v>1152</v>
      </c>
      <c r="G97" s="64" t="n">
        <v>691</v>
      </c>
      <c r="H97" s="64" t="n">
        <v>1152</v>
      </c>
      <c r="I97" s="64"/>
      <c r="J97" s="64"/>
      <c r="K97" s="64"/>
      <c r="L97" s="64"/>
      <c r="M97" s="64" t="n">
        <f aca="false">H97+SUM(I97:L97)</f>
        <v>1152</v>
      </c>
      <c r="N97" s="64" t="n">
        <v>0</v>
      </c>
      <c r="O97" s="65" t="n">
        <f aca="false">N97/$M97</f>
        <v>0</v>
      </c>
      <c r="P97" s="64" t="n">
        <v>0</v>
      </c>
      <c r="Q97" s="65" t="n">
        <f aca="false">P97/$M97</f>
        <v>0</v>
      </c>
      <c r="R97" s="64" t="n">
        <v>0</v>
      </c>
      <c r="S97" s="65" t="n">
        <f aca="false">R97/$M97</f>
        <v>0</v>
      </c>
      <c r="T97" s="64" t="n">
        <v>0</v>
      </c>
      <c r="U97" s="65" t="n">
        <f aca="false">T97/$M97</f>
        <v>0</v>
      </c>
      <c r="V97" s="63" t="n">
        <f aca="false">H97</f>
        <v>1152</v>
      </c>
      <c r="W97" s="63" t="n">
        <f aca="false">V97</f>
        <v>1152</v>
      </c>
    </row>
    <row r="98" customFormat="false" ht="13.9" hidden="false" customHeight="true" outlineLevel="0" collapsed="false">
      <c r="A98" s="62"/>
      <c r="B98" s="10" t="n">
        <v>312001</v>
      </c>
      <c r="C98" s="10" t="s">
        <v>81</v>
      </c>
      <c r="D98" s="63" t="n">
        <v>1165.68</v>
      </c>
      <c r="E98" s="64" t="n">
        <v>4487.71</v>
      </c>
      <c r="F98" s="64" t="n">
        <v>4488</v>
      </c>
      <c r="G98" s="64" t="n">
        <v>7171.9</v>
      </c>
      <c r="H98" s="64" t="n">
        <v>7172</v>
      </c>
      <c r="I98" s="64"/>
      <c r="J98" s="64"/>
      <c r="K98" s="64"/>
      <c r="L98" s="64" t="n">
        <v>707</v>
      </c>
      <c r="M98" s="64" t="n">
        <f aca="false">H98+SUM(I98:L98)</f>
        <v>7879</v>
      </c>
      <c r="N98" s="64" t="n">
        <v>1737.14</v>
      </c>
      <c r="O98" s="65" t="n">
        <f aca="false">N98/$M98</f>
        <v>0.220477217921056</v>
      </c>
      <c r="P98" s="64" t="n">
        <v>4398.26</v>
      </c>
      <c r="Q98" s="65" t="n">
        <f aca="false">P98/$M98</f>
        <v>0.558225663155223</v>
      </c>
      <c r="R98" s="64" t="n">
        <v>6182.94</v>
      </c>
      <c r="S98" s="65" t="n">
        <f aca="false">R98/$M98</f>
        <v>0.7847366417058</v>
      </c>
      <c r="T98" s="64" t="n">
        <v>7879.27</v>
      </c>
      <c r="U98" s="65" t="n">
        <f aca="false">T98/$M98</f>
        <v>1.00003426830816</v>
      </c>
      <c r="V98" s="63" t="n">
        <f aca="false">H98</f>
        <v>7172</v>
      </c>
      <c r="W98" s="63" t="n">
        <f aca="false">V98</f>
        <v>7172</v>
      </c>
    </row>
    <row r="99" customFormat="false" ht="13.9" hidden="true" customHeight="true" outlineLevel="0" collapsed="false">
      <c r="A99" s="62"/>
      <c r="B99" s="10" t="n">
        <v>312001</v>
      </c>
      <c r="C99" s="10" t="s">
        <v>82</v>
      </c>
      <c r="D99" s="63" t="n">
        <v>0</v>
      </c>
      <c r="E99" s="64" t="n">
        <v>5700</v>
      </c>
      <c r="F99" s="64" t="n">
        <v>5765</v>
      </c>
      <c r="G99" s="64" t="n">
        <v>5765.41</v>
      </c>
      <c r="H99" s="64" t="n">
        <v>0</v>
      </c>
      <c r="I99" s="64"/>
      <c r="J99" s="64"/>
      <c r="K99" s="64"/>
      <c r="L99" s="64"/>
      <c r="M99" s="64" t="n">
        <f aca="false">H99+SUM(I99:L99)</f>
        <v>0</v>
      </c>
      <c r="N99" s="64" t="n">
        <v>0</v>
      </c>
      <c r="O99" s="65" t="e">
        <f aca="false">N99/$M99</f>
        <v>#DIV/0!</v>
      </c>
      <c r="P99" s="64" t="n">
        <v>0</v>
      </c>
      <c r="Q99" s="65" t="e">
        <f aca="false">P99/$M99</f>
        <v>#DIV/0!</v>
      </c>
      <c r="R99" s="64" t="n">
        <v>0</v>
      </c>
      <c r="S99" s="65" t="e">
        <f aca="false">R99/$M99</f>
        <v>#DIV/0!</v>
      </c>
      <c r="T99" s="64" t="n">
        <v>0</v>
      </c>
      <c r="U99" s="65" t="e">
        <f aca="false">T99/$M99</f>
        <v>#DIV/0!</v>
      </c>
      <c r="V99" s="63" t="n">
        <v>0</v>
      </c>
      <c r="W99" s="63" t="n">
        <v>0</v>
      </c>
    </row>
    <row r="100" customFormat="false" ht="13.9" hidden="false" customHeight="true" outlineLevel="0" collapsed="false">
      <c r="A100" s="62"/>
      <c r="B100" s="10" t="n">
        <v>312001</v>
      </c>
      <c r="C100" s="10" t="s">
        <v>83</v>
      </c>
      <c r="D100" s="63" t="n">
        <v>4446.04</v>
      </c>
      <c r="E100" s="64" t="n">
        <v>2202.92</v>
      </c>
      <c r="F100" s="64" t="n">
        <v>0</v>
      </c>
      <c r="G100" s="64" t="n">
        <v>0</v>
      </c>
      <c r="H100" s="64" t="n">
        <v>3020</v>
      </c>
      <c r="I100" s="64"/>
      <c r="J100" s="64"/>
      <c r="K100" s="64"/>
      <c r="L100" s="64" t="n">
        <v>1512</v>
      </c>
      <c r="M100" s="64" t="n">
        <f aca="false">H100+SUM(I100:L100)</f>
        <v>4532</v>
      </c>
      <c r="N100" s="64" t="n">
        <v>0</v>
      </c>
      <c r="O100" s="65" t="n">
        <f aca="false">N100/$M100</f>
        <v>0</v>
      </c>
      <c r="P100" s="64" t="n">
        <v>0</v>
      </c>
      <c r="Q100" s="65" t="n">
        <f aca="false">P100/$M100</f>
        <v>0</v>
      </c>
      <c r="R100" s="64" t="n">
        <v>900</v>
      </c>
      <c r="S100" s="65" t="n">
        <f aca="false">R100/$M100</f>
        <v>0.198587819947043</v>
      </c>
      <c r="T100" s="64" t="n">
        <v>5697.82</v>
      </c>
      <c r="U100" s="65" t="n">
        <f aca="false">T100/$M100</f>
        <v>1.25724183583407</v>
      </c>
      <c r="V100" s="63" t="n">
        <v>0</v>
      </c>
      <c r="W100" s="63" t="n">
        <v>4530</v>
      </c>
    </row>
    <row r="101" customFormat="false" ht="13.9" hidden="false" customHeight="true" outlineLevel="0" collapsed="false">
      <c r="A101" s="62"/>
      <c r="B101" s="10" t="n">
        <v>312001</v>
      </c>
      <c r="C101" s="10" t="s">
        <v>84</v>
      </c>
      <c r="D101" s="63" t="n">
        <v>35712</v>
      </c>
      <c r="E101" s="64" t="n">
        <v>44092</v>
      </c>
      <c r="F101" s="64" t="n">
        <v>43848</v>
      </c>
      <c r="G101" s="64" t="n">
        <v>43848</v>
      </c>
      <c r="H101" s="64" t="n">
        <v>50112</v>
      </c>
      <c r="I101" s="64" t="n">
        <v>4234</v>
      </c>
      <c r="J101" s="64"/>
      <c r="K101" s="64"/>
      <c r="L101" s="64"/>
      <c r="M101" s="64" t="n">
        <f aca="false">H101+SUM(I101:L101)</f>
        <v>54346</v>
      </c>
      <c r="N101" s="64" t="n">
        <v>12356.39</v>
      </c>
      <c r="O101" s="65" t="n">
        <f aca="false">N101/$M101</f>
        <v>0.22736521547124</v>
      </c>
      <c r="P101" s="64" t="n">
        <v>29084.4</v>
      </c>
      <c r="Q101" s="65" t="n">
        <f aca="false">P101/$M101</f>
        <v>0.535170941743643</v>
      </c>
      <c r="R101" s="64" t="n">
        <f aca="false">37481.04+4234.33</f>
        <v>41715.37</v>
      </c>
      <c r="S101" s="65" t="n">
        <f aca="false">R101/$M101</f>
        <v>0.767588598976926</v>
      </c>
      <c r="T101" s="64" t="n">
        <f aca="false">50112+3600+4234.33</f>
        <v>57946.33</v>
      </c>
      <c r="U101" s="65" t="n">
        <f aca="false">T101/$M101</f>
        <v>1.06624829794281</v>
      </c>
      <c r="V101" s="63" t="n">
        <v>51615</v>
      </c>
      <c r="W101" s="63" t="n">
        <v>53164</v>
      </c>
    </row>
    <row r="102" customFormat="false" ht="13.9" hidden="false" customHeight="true" outlineLevel="0" collapsed="false">
      <c r="A102" s="62"/>
      <c r="B102" s="10" t="n">
        <v>312001</v>
      </c>
      <c r="C102" s="10" t="s">
        <v>85</v>
      </c>
      <c r="D102" s="63" t="n">
        <v>21626.75</v>
      </c>
      <c r="E102" s="64" t="n">
        <v>1821.52</v>
      </c>
      <c r="F102" s="64" t="n">
        <v>0</v>
      </c>
      <c r="G102" s="64" t="n">
        <v>0</v>
      </c>
      <c r="H102" s="64" t="n">
        <v>0</v>
      </c>
      <c r="I102" s="64" t="n">
        <v>8259</v>
      </c>
      <c r="J102" s="64"/>
      <c r="K102" s="64"/>
      <c r="L102" s="64"/>
      <c r="M102" s="64" t="n">
        <f aca="false">H102+SUM(I102:L102)</f>
        <v>8259</v>
      </c>
      <c r="N102" s="64" t="n">
        <v>0</v>
      </c>
      <c r="O102" s="65" t="n">
        <f aca="false">N102/$M102</f>
        <v>0</v>
      </c>
      <c r="P102" s="64" t="n">
        <v>917.65</v>
      </c>
      <c r="Q102" s="65" t="n">
        <f aca="false">P102/$M102</f>
        <v>0.111109093110546</v>
      </c>
      <c r="R102" s="64" t="n">
        <v>4588.25</v>
      </c>
      <c r="S102" s="65" t="n">
        <f aca="false">R102/$M102</f>
        <v>0.55554546555273</v>
      </c>
      <c r="T102" s="64" t="n">
        <f aca="false">5624.38+830.61</f>
        <v>6454.99</v>
      </c>
      <c r="U102" s="65" t="n">
        <f aca="false">T102/$M102</f>
        <v>0.781570408039714</v>
      </c>
      <c r="V102" s="64" t="n">
        <f aca="false">výdaje!Y325</f>
        <v>0</v>
      </c>
      <c r="W102" s="63" t="n">
        <f aca="false">V102</f>
        <v>0</v>
      </c>
    </row>
    <row r="103" customFormat="false" ht="13.9" hidden="true" customHeight="true" outlineLevel="0" collapsed="false">
      <c r="A103" s="62"/>
      <c r="B103" s="10" t="n">
        <v>312001</v>
      </c>
      <c r="C103" s="10" t="s">
        <v>86</v>
      </c>
      <c r="D103" s="63"/>
      <c r="E103" s="64" t="n">
        <v>29644.43</v>
      </c>
      <c r="F103" s="64" t="n">
        <v>0</v>
      </c>
      <c r="G103" s="64" t="n">
        <v>0</v>
      </c>
      <c r="H103" s="64" t="n">
        <v>0</v>
      </c>
      <c r="I103" s="64"/>
      <c r="J103" s="64"/>
      <c r="K103" s="64"/>
      <c r="L103" s="64"/>
      <c r="M103" s="64" t="n">
        <f aca="false">H103+SUM(I103:L103)</f>
        <v>0</v>
      </c>
      <c r="N103" s="64" t="n">
        <v>0</v>
      </c>
      <c r="O103" s="65" t="e">
        <f aca="false">N103/$M103</f>
        <v>#DIV/0!</v>
      </c>
      <c r="P103" s="64" t="n">
        <v>0</v>
      </c>
      <c r="Q103" s="65" t="e">
        <f aca="false">P103/$M103</f>
        <v>#DIV/0!</v>
      </c>
      <c r="R103" s="64" t="n">
        <v>0</v>
      </c>
      <c r="S103" s="65" t="e">
        <f aca="false">R103/$M103</f>
        <v>#DIV/0!</v>
      </c>
      <c r="T103" s="64" t="n">
        <v>0</v>
      </c>
      <c r="U103" s="65" t="e">
        <f aca="false">T103/$M103</f>
        <v>#DIV/0!</v>
      </c>
      <c r="V103" s="64" t="n">
        <f aca="false">výdaje!Y326</f>
        <v>2337</v>
      </c>
      <c r="W103" s="63" t="n">
        <f aca="false">V103</f>
        <v>2337</v>
      </c>
    </row>
    <row r="104" customFormat="false" ht="13.9" hidden="true" customHeight="true" outlineLevel="0" collapsed="false">
      <c r="A104" s="62"/>
      <c r="B104" s="10" t="n">
        <v>312001</v>
      </c>
      <c r="C104" s="10" t="s">
        <v>87</v>
      </c>
      <c r="D104" s="63" t="n">
        <v>3093.96</v>
      </c>
      <c r="E104" s="64" t="n">
        <v>0</v>
      </c>
      <c r="F104" s="64" t="n">
        <v>0</v>
      </c>
      <c r="G104" s="64" t="n">
        <v>0</v>
      </c>
      <c r="H104" s="64" t="n">
        <v>0</v>
      </c>
      <c r="I104" s="64"/>
      <c r="J104" s="64"/>
      <c r="K104" s="64"/>
      <c r="L104" s="64"/>
      <c r="M104" s="64" t="n">
        <f aca="false">H104+SUM(I104:L104)</f>
        <v>0</v>
      </c>
      <c r="N104" s="64" t="n">
        <v>0</v>
      </c>
      <c r="O104" s="65" t="e">
        <f aca="false">N104/$M104</f>
        <v>#DIV/0!</v>
      </c>
      <c r="P104" s="64" t="n">
        <v>0</v>
      </c>
      <c r="Q104" s="65" t="e">
        <f aca="false">P104/$M104</f>
        <v>#DIV/0!</v>
      </c>
      <c r="R104" s="64" t="n">
        <v>0</v>
      </c>
      <c r="S104" s="65" t="e">
        <f aca="false">R104/$M104</f>
        <v>#DIV/0!</v>
      </c>
      <c r="T104" s="64" t="n">
        <v>0</v>
      </c>
      <c r="U104" s="65" t="e">
        <f aca="false">T104/$M104</f>
        <v>#DIV/0!</v>
      </c>
      <c r="V104" s="64" t="n">
        <f aca="false">výdaje!Y326</f>
        <v>2337</v>
      </c>
      <c r="W104" s="63" t="n">
        <f aca="false">V104</f>
        <v>2337</v>
      </c>
    </row>
    <row r="105" customFormat="false" ht="13.9" hidden="true" customHeight="true" outlineLevel="0" collapsed="false">
      <c r="A105" s="62"/>
      <c r="B105" s="10" t="n">
        <v>312001</v>
      </c>
      <c r="C105" s="10" t="s">
        <v>88</v>
      </c>
      <c r="D105" s="63" t="n">
        <v>3380.21</v>
      </c>
      <c r="E105" s="64" t="n">
        <v>0</v>
      </c>
      <c r="F105" s="64" t="n">
        <v>0</v>
      </c>
      <c r="G105" s="64" t="n">
        <v>0</v>
      </c>
      <c r="H105" s="64" t="n">
        <v>0</v>
      </c>
      <c r="I105" s="64"/>
      <c r="J105" s="64"/>
      <c r="K105" s="64"/>
      <c r="L105" s="64"/>
      <c r="M105" s="64" t="n">
        <f aca="false">H105+SUM(I105:L105)</f>
        <v>0</v>
      </c>
      <c r="N105" s="64" t="n">
        <v>0</v>
      </c>
      <c r="O105" s="65" t="e">
        <f aca="false">N105/$M105</f>
        <v>#DIV/0!</v>
      </c>
      <c r="P105" s="64" t="n">
        <v>0</v>
      </c>
      <c r="Q105" s="65" t="e">
        <f aca="false">P105/$M105</f>
        <v>#DIV/0!</v>
      </c>
      <c r="R105" s="64" t="n">
        <v>0</v>
      </c>
      <c r="S105" s="65" t="e">
        <f aca="false">R105/$M105</f>
        <v>#DIV/0!</v>
      </c>
      <c r="T105" s="64" t="n">
        <v>0</v>
      </c>
      <c r="U105" s="65" t="e">
        <f aca="false">T105/$M105</f>
        <v>#DIV/0!</v>
      </c>
      <c r="V105" s="64" t="n">
        <f aca="false">výdaje!Y327</f>
        <v>724</v>
      </c>
      <c r="W105" s="63" t="n">
        <f aca="false">V105</f>
        <v>724</v>
      </c>
    </row>
    <row r="106" customFormat="false" ht="13.9" hidden="true" customHeight="true" outlineLevel="0" collapsed="false">
      <c r="A106" s="62"/>
      <c r="B106" s="10" t="n">
        <v>312001</v>
      </c>
      <c r="C106" s="10" t="s">
        <v>89</v>
      </c>
      <c r="D106" s="63" t="n">
        <v>2478.33</v>
      </c>
      <c r="E106" s="64" t="n">
        <v>0</v>
      </c>
      <c r="F106" s="64" t="n">
        <v>0</v>
      </c>
      <c r="G106" s="64" t="n">
        <v>0</v>
      </c>
      <c r="H106" s="64" t="n">
        <v>0</v>
      </c>
      <c r="I106" s="64"/>
      <c r="J106" s="64"/>
      <c r="K106" s="64"/>
      <c r="L106" s="64"/>
      <c r="M106" s="64" t="n">
        <f aca="false">H106+SUM(I106:L106)</f>
        <v>0</v>
      </c>
      <c r="N106" s="64" t="n">
        <v>0</v>
      </c>
      <c r="O106" s="65" t="e">
        <f aca="false">N106/$M106</f>
        <v>#DIV/0!</v>
      </c>
      <c r="P106" s="64" t="n">
        <v>0</v>
      </c>
      <c r="Q106" s="65" t="e">
        <f aca="false">P106/$M106</f>
        <v>#DIV/0!</v>
      </c>
      <c r="R106" s="64" t="n">
        <v>0</v>
      </c>
      <c r="S106" s="65" t="e">
        <f aca="false">R106/$M106</f>
        <v>#DIV/0!</v>
      </c>
      <c r="T106" s="64" t="n">
        <v>0</v>
      </c>
      <c r="U106" s="65" t="e">
        <f aca="false">T106/$M106</f>
        <v>#DIV/0!</v>
      </c>
      <c r="V106" s="64" t="n">
        <f aca="false">výdaje!Y328</f>
        <v>172</v>
      </c>
      <c r="W106" s="63" t="n">
        <f aca="false">V106</f>
        <v>172</v>
      </c>
    </row>
    <row r="107" customFormat="false" ht="13.9" hidden="false" customHeight="true" outlineLevel="0" collapsed="false">
      <c r="A107" s="62"/>
      <c r="B107" s="10" t="n">
        <v>312001</v>
      </c>
      <c r="C107" s="10" t="s">
        <v>90</v>
      </c>
      <c r="D107" s="63" t="n">
        <v>0</v>
      </c>
      <c r="E107" s="64" t="n">
        <v>0</v>
      </c>
      <c r="F107" s="64" t="n">
        <v>0</v>
      </c>
      <c r="G107" s="64" t="n">
        <v>0</v>
      </c>
      <c r="H107" s="64" t="n">
        <v>0</v>
      </c>
      <c r="I107" s="64"/>
      <c r="J107" s="64" t="n">
        <v>5982</v>
      </c>
      <c r="K107" s="64" t="n">
        <v>10440</v>
      </c>
      <c r="L107" s="64" t="n">
        <v>6132</v>
      </c>
      <c r="M107" s="64" t="n">
        <f aca="false">H107+SUM(I107:L107)</f>
        <v>22554</v>
      </c>
      <c r="N107" s="64" t="n">
        <v>0</v>
      </c>
      <c r="O107" s="65" t="n">
        <f aca="false">N107/$M107</f>
        <v>0</v>
      </c>
      <c r="P107" s="64" t="n">
        <v>5981.5</v>
      </c>
      <c r="Q107" s="65" t="n">
        <f aca="false">P107/$M107</f>
        <v>0.265207945375543</v>
      </c>
      <c r="R107" s="64" t="n">
        <v>16421.5</v>
      </c>
      <c r="S107" s="65" t="n">
        <f aca="false">R107/$M107</f>
        <v>0.728097011616565</v>
      </c>
      <c r="T107" s="64" t="n">
        <v>22985.5</v>
      </c>
      <c r="U107" s="65" t="n">
        <f aca="false">T107/$M107</f>
        <v>1.01913186131063</v>
      </c>
      <c r="V107" s="64"/>
      <c r="W107" s="63"/>
    </row>
    <row r="108" customFormat="false" ht="13.9" hidden="false" customHeight="true" outlineLevel="0" collapsed="false">
      <c r="A108" s="62"/>
      <c r="B108" s="10" t="n">
        <v>312012</v>
      </c>
      <c r="C108" s="10" t="s">
        <v>91</v>
      </c>
      <c r="D108" s="63" t="n">
        <v>4117.82</v>
      </c>
      <c r="E108" s="64" t="n">
        <v>4584.09</v>
      </c>
      <c r="F108" s="64" t="n">
        <v>4105</v>
      </c>
      <c r="G108" s="64" t="n">
        <v>4105.09</v>
      </c>
      <c r="H108" s="64" t="n">
        <v>4105</v>
      </c>
      <c r="I108" s="64"/>
      <c r="J108" s="64" t="n">
        <v>11</v>
      </c>
      <c r="K108" s="64"/>
      <c r="L108" s="64"/>
      <c r="M108" s="64" t="n">
        <f aca="false">H108+SUM(I108:L108)</f>
        <v>4116</v>
      </c>
      <c r="N108" s="64" t="n">
        <v>0</v>
      </c>
      <c r="O108" s="65" t="n">
        <f aca="false">N108/$M108</f>
        <v>0</v>
      </c>
      <c r="P108" s="64" t="n">
        <v>4116.15</v>
      </c>
      <c r="Q108" s="65" t="n">
        <f aca="false">P108/$M108</f>
        <v>1.00003644314869</v>
      </c>
      <c r="R108" s="64" t="n">
        <v>4116.15</v>
      </c>
      <c r="S108" s="65" t="n">
        <f aca="false">R108/$M108</f>
        <v>1.00003644314869</v>
      </c>
      <c r="T108" s="64" t="n">
        <v>4116.15</v>
      </c>
      <c r="U108" s="65" t="n">
        <f aca="false">T108/$M108</f>
        <v>1.00003644314869</v>
      </c>
      <c r="V108" s="63" t="n">
        <f aca="false">H108</f>
        <v>4105</v>
      </c>
      <c r="W108" s="63" t="n">
        <f aca="false">V108</f>
        <v>4105</v>
      </c>
    </row>
    <row r="109" customFormat="false" ht="13.9" hidden="false" customHeight="true" outlineLevel="0" collapsed="false">
      <c r="A109" s="62"/>
      <c r="B109" s="10" t="n">
        <v>312012</v>
      </c>
      <c r="C109" s="10" t="s">
        <v>92</v>
      </c>
      <c r="D109" s="63" t="n">
        <v>136.21</v>
      </c>
      <c r="E109" s="64" t="n">
        <v>135.65</v>
      </c>
      <c r="F109" s="64" t="n">
        <v>137</v>
      </c>
      <c r="G109" s="64" t="n">
        <v>136.86</v>
      </c>
      <c r="H109" s="64" t="n">
        <v>137</v>
      </c>
      <c r="I109" s="64"/>
      <c r="J109" s="64"/>
      <c r="K109" s="64"/>
      <c r="L109" s="64"/>
      <c r="M109" s="64" t="n">
        <f aca="false">H109+SUM(I109:L109)</f>
        <v>137</v>
      </c>
      <c r="N109" s="64" t="n">
        <v>0</v>
      </c>
      <c r="O109" s="65" t="n">
        <f aca="false">N109/$M109</f>
        <v>0</v>
      </c>
      <c r="P109" s="64" t="n">
        <v>137.29</v>
      </c>
      <c r="Q109" s="65" t="n">
        <f aca="false">P109/$M109</f>
        <v>1.00211678832117</v>
      </c>
      <c r="R109" s="64" t="n">
        <v>137.29</v>
      </c>
      <c r="S109" s="65" t="n">
        <f aca="false">R109/$M109</f>
        <v>1.00211678832117</v>
      </c>
      <c r="T109" s="64" t="n">
        <v>137.29</v>
      </c>
      <c r="U109" s="65" t="n">
        <f aca="false">T109/$M109</f>
        <v>1.00211678832117</v>
      </c>
      <c r="V109" s="63" t="n">
        <f aca="false">H109</f>
        <v>137</v>
      </c>
      <c r="W109" s="63" t="n">
        <f aca="false">V109</f>
        <v>137</v>
      </c>
    </row>
    <row r="110" customFormat="false" ht="13.9" hidden="false" customHeight="true" outlineLevel="0" collapsed="false">
      <c r="A110" s="62"/>
      <c r="B110" s="10" t="n">
        <v>312012</v>
      </c>
      <c r="C110" s="10" t="s">
        <v>93</v>
      </c>
      <c r="D110" s="63" t="n">
        <v>294.74</v>
      </c>
      <c r="E110" s="64" t="n">
        <v>298.29</v>
      </c>
      <c r="F110" s="64" t="n">
        <v>310</v>
      </c>
      <c r="G110" s="64" t="n">
        <v>310.47</v>
      </c>
      <c r="H110" s="64" t="n">
        <v>310</v>
      </c>
      <c r="I110" s="64"/>
      <c r="J110" s="64" t="n">
        <v>8</v>
      </c>
      <c r="K110" s="64"/>
      <c r="L110" s="64"/>
      <c r="M110" s="64" t="n">
        <f aca="false">H110+SUM(I110:L110)</f>
        <v>318</v>
      </c>
      <c r="N110" s="64" t="n">
        <v>0</v>
      </c>
      <c r="O110" s="65" t="n">
        <f aca="false">N110/$M110</f>
        <v>0</v>
      </c>
      <c r="P110" s="64" t="n">
        <v>0</v>
      </c>
      <c r="Q110" s="65" t="n">
        <f aca="false">P110/$M110</f>
        <v>0</v>
      </c>
      <c r="R110" s="64" t="n">
        <v>318.27</v>
      </c>
      <c r="S110" s="65" t="n">
        <f aca="false">R110/$M110</f>
        <v>1.00084905660377</v>
      </c>
      <c r="T110" s="64" t="n">
        <v>1667.77</v>
      </c>
      <c r="U110" s="65" t="n">
        <f aca="false">T110/$M110</f>
        <v>5.24455974842767</v>
      </c>
      <c r="V110" s="63" t="n">
        <f aca="false">H110</f>
        <v>310</v>
      </c>
      <c r="W110" s="63" t="n">
        <f aca="false">V110</f>
        <v>310</v>
      </c>
    </row>
    <row r="111" customFormat="false" ht="13.9" hidden="false" customHeight="true" outlineLevel="0" collapsed="false">
      <c r="A111" s="62"/>
      <c r="B111" s="10" t="n">
        <v>312012</v>
      </c>
      <c r="C111" s="10" t="s">
        <v>94</v>
      </c>
      <c r="D111" s="63" t="n">
        <v>5120.46</v>
      </c>
      <c r="E111" s="64" t="n">
        <v>5629.44</v>
      </c>
      <c r="F111" s="64" t="n">
        <v>4478</v>
      </c>
      <c r="G111" s="64" t="n">
        <v>5664.75</v>
      </c>
      <c r="H111" s="64" t="n">
        <v>5665</v>
      </c>
      <c r="I111" s="64"/>
      <c r="J111" s="64"/>
      <c r="K111" s="64"/>
      <c r="L111" s="64"/>
      <c r="M111" s="64" t="n">
        <f aca="false">H111+SUM(I111:L111)</f>
        <v>5665</v>
      </c>
      <c r="N111" s="64" t="n">
        <v>5546.76</v>
      </c>
      <c r="O111" s="65" t="n">
        <f aca="false">N111/$M111</f>
        <v>0.979127978817299</v>
      </c>
      <c r="P111" s="64" t="n">
        <v>5546.76</v>
      </c>
      <c r="Q111" s="65" t="n">
        <f aca="false">P111/$M111</f>
        <v>0.979127978817299</v>
      </c>
      <c r="R111" s="64" t="n">
        <v>5546.76</v>
      </c>
      <c r="S111" s="65" t="n">
        <f aca="false">R111/$M111</f>
        <v>0.979127978817299</v>
      </c>
      <c r="T111" s="64" t="n">
        <v>5546.76</v>
      </c>
      <c r="U111" s="65" t="n">
        <f aca="false">T111/$M111</f>
        <v>0.979127978817299</v>
      </c>
      <c r="V111" s="63" t="n">
        <f aca="false">H111</f>
        <v>5665</v>
      </c>
      <c r="W111" s="63" t="n">
        <f aca="false">V111</f>
        <v>5665</v>
      </c>
    </row>
    <row r="112" customFormat="false" ht="13.9" hidden="false" customHeight="true" outlineLevel="0" collapsed="false">
      <c r="A112" s="62"/>
      <c r="B112" s="10" t="n">
        <v>312012</v>
      </c>
      <c r="C112" s="10" t="s">
        <v>95</v>
      </c>
      <c r="D112" s="63" t="n">
        <v>1080.89</v>
      </c>
      <c r="E112" s="64" t="n">
        <v>1071.8</v>
      </c>
      <c r="F112" s="64" t="n">
        <v>1083</v>
      </c>
      <c r="G112" s="64" t="n">
        <v>1082.64</v>
      </c>
      <c r="H112" s="64" t="n">
        <v>1083</v>
      </c>
      <c r="I112" s="64"/>
      <c r="J112" s="64"/>
      <c r="K112" s="64"/>
      <c r="L112" s="64"/>
      <c r="M112" s="64" t="n">
        <f aca="false">H112+SUM(I112:L112)</f>
        <v>1083</v>
      </c>
      <c r="N112" s="64" t="n">
        <v>1084.34</v>
      </c>
      <c r="O112" s="65" t="n">
        <f aca="false">N112/$M112</f>
        <v>1.00123730378578</v>
      </c>
      <c r="P112" s="64" t="n">
        <v>1084.34</v>
      </c>
      <c r="Q112" s="65" t="n">
        <f aca="false">P112/$M112</f>
        <v>1.00123730378578</v>
      </c>
      <c r="R112" s="64" t="n">
        <v>1084.34</v>
      </c>
      <c r="S112" s="65" t="n">
        <f aca="false">R112/$M112</f>
        <v>1.00123730378578</v>
      </c>
      <c r="T112" s="64" t="n">
        <v>1084.34</v>
      </c>
      <c r="U112" s="65" t="n">
        <f aca="false">T112/$M112</f>
        <v>1.00123730378578</v>
      </c>
      <c r="V112" s="63" t="n">
        <f aca="false">H112</f>
        <v>1083</v>
      </c>
      <c r="W112" s="63" t="n">
        <f aca="false">V112</f>
        <v>1083</v>
      </c>
    </row>
    <row r="113" customFormat="false" ht="13.9" hidden="false" customHeight="true" outlineLevel="0" collapsed="false">
      <c r="A113" s="62"/>
      <c r="B113" s="10" t="n">
        <v>312012</v>
      </c>
      <c r="C113" s="10" t="s">
        <v>96</v>
      </c>
      <c r="D113" s="63" t="n">
        <v>3412.56</v>
      </c>
      <c r="E113" s="64" t="n">
        <v>3073.49</v>
      </c>
      <c r="F113" s="64" t="n">
        <f aca="false">252+6675</f>
        <v>6927</v>
      </c>
      <c r="G113" s="64" t="n">
        <v>36480.72</v>
      </c>
      <c r="H113" s="64" t="n">
        <v>301</v>
      </c>
      <c r="I113" s="64"/>
      <c r="J113" s="64"/>
      <c r="K113" s="64"/>
      <c r="L113" s="64" t="n">
        <v>11</v>
      </c>
      <c r="M113" s="64" t="n">
        <f aca="false">H113+SUM(I113:L113)</f>
        <v>312</v>
      </c>
      <c r="N113" s="64" t="n">
        <v>0</v>
      </c>
      <c r="O113" s="65" t="n">
        <f aca="false">N113/$M113</f>
        <v>0</v>
      </c>
      <c r="P113" s="64" t="n">
        <v>0</v>
      </c>
      <c r="Q113" s="65" t="n">
        <f aca="false">P113/$M113</f>
        <v>0</v>
      </c>
      <c r="R113" s="64" t="n">
        <v>0</v>
      </c>
      <c r="S113" s="65" t="n">
        <f aca="false">R113/$M113</f>
        <v>0</v>
      </c>
      <c r="T113" s="64" t="n">
        <v>311.89</v>
      </c>
      <c r="U113" s="65" t="n">
        <f aca="false">T113/$M113</f>
        <v>0.999647435897436</v>
      </c>
      <c r="V113" s="63" t="n">
        <f aca="false">H113</f>
        <v>301</v>
      </c>
      <c r="W113" s="63" t="n">
        <f aca="false">V113</f>
        <v>301</v>
      </c>
    </row>
    <row r="114" customFormat="false" ht="13.9" hidden="true" customHeight="true" outlineLevel="0" collapsed="false">
      <c r="A114" s="62"/>
      <c r="B114" s="10" t="n">
        <v>322001</v>
      </c>
      <c r="C114" s="10" t="s">
        <v>97</v>
      </c>
      <c r="D114" s="63" t="n">
        <v>498788.85</v>
      </c>
      <c r="E114" s="64" t="n">
        <v>0</v>
      </c>
      <c r="F114" s="64" t="n">
        <v>0</v>
      </c>
      <c r="G114" s="64" t="n">
        <v>0</v>
      </c>
      <c r="H114" s="64" t="n">
        <v>0</v>
      </c>
      <c r="I114" s="64"/>
      <c r="J114" s="64"/>
      <c r="K114" s="64"/>
      <c r="L114" s="64"/>
      <c r="M114" s="64" t="n">
        <f aca="false">H114+SUM(I114:L114)</f>
        <v>0</v>
      </c>
      <c r="N114" s="64" t="n">
        <v>0</v>
      </c>
      <c r="O114" s="65" t="e">
        <f aca="false">N114/$M114</f>
        <v>#DIV/0!</v>
      </c>
      <c r="P114" s="64" t="n">
        <v>0</v>
      </c>
      <c r="Q114" s="65" t="e">
        <f aca="false">P114/$M114</f>
        <v>#DIV/0!</v>
      </c>
      <c r="R114" s="64" t="n">
        <v>0</v>
      </c>
      <c r="S114" s="65" t="e">
        <f aca="false">R114/$M114</f>
        <v>#DIV/0!</v>
      </c>
      <c r="T114" s="64" t="n">
        <v>0</v>
      </c>
      <c r="U114" s="65" t="e">
        <f aca="false">T114/$M114</f>
        <v>#DIV/0!</v>
      </c>
      <c r="V114" s="63" t="n">
        <f aca="false">H114</f>
        <v>0</v>
      </c>
      <c r="W114" s="63" t="n">
        <f aca="false">V114</f>
        <v>0</v>
      </c>
    </row>
    <row r="115" customFormat="false" ht="13.9" hidden="true" customHeight="true" outlineLevel="0" collapsed="false">
      <c r="A115" s="62"/>
      <c r="B115" s="10" t="n">
        <v>322001</v>
      </c>
      <c r="C115" s="10" t="s">
        <v>98</v>
      </c>
      <c r="D115" s="63" t="n">
        <v>338951.81</v>
      </c>
      <c r="E115" s="64" t="n">
        <v>0</v>
      </c>
      <c r="F115" s="64" t="n">
        <v>0</v>
      </c>
      <c r="G115" s="64" t="n">
        <v>0</v>
      </c>
      <c r="H115" s="64" t="n">
        <v>0</v>
      </c>
      <c r="I115" s="64"/>
      <c r="J115" s="64"/>
      <c r="K115" s="64"/>
      <c r="L115" s="64"/>
      <c r="M115" s="64" t="n">
        <f aca="false">H115+SUM(I115:L115)</f>
        <v>0</v>
      </c>
      <c r="N115" s="64" t="n">
        <v>0</v>
      </c>
      <c r="O115" s="65" t="e">
        <f aca="false">N115/$M115</f>
        <v>#DIV/0!</v>
      </c>
      <c r="P115" s="64" t="n">
        <v>0</v>
      </c>
      <c r="Q115" s="65" t="e">
        <f aca="false">P115/$M115</f>
        <v>#DIV/0!</v>
      </c>
      <c r="R115" s="64" t="n">
        <v>0</v>
      </c>
      <c r="S115" s="65" t="e">
        <f aca="false">R115/$M115</f>
        <v>#DIV/0!</v>
      </c>
      <c r="T115" s="64" t="n">
        <v>0</v>
      </c>
      <c r="U115" s="65" t="e">
        <f aca="false">T115/$M115</f>
        <v>#DIV/0!</v>
      </c>
      <c r="V115" s="63" t="n">
        <f aca="false">H115</f>
        <v>0</v>
      </c>
      <c r="W115" s="63" t="n">
        <f aca="false">V115</f>
        <v>0</v>
      </c>
    </row>
    <row r="116" customFormat="false" ht="13.9" hidden="true" customHeight="true" outlineLevel="0" collapsed="false">
      <c r="A116" s="62"/>
      <c r="B116" s="10" t="n">
        <v>322001</v>
      </c>
      <c r="C116" s="10" t="s">
        <v>99</v>
      </c>
      <c r="D116" s="63" t="n">
        <v>137657.39</v>
      </c>
      <c r="E116" s="64" t="n">
        <v>0</v>
      </c>
      <c r="F116" s="64" t="n">
        <v>0</v>
      </c>
      <c r="G116" s="64" t="n">
        <v>0</v>
      </c>
      <c r="H116" s="64" t="n">
        <v>0</v>
      </c>
      <c r="I116" s="64"/>
      <c r="J116" s="64"/>
      <c r="K116" s="64"/>
      <c r="L116" s="64"/>
      <c r="M116" s="64" t="n">
        <f aca="false">H116+SUM(I116:L116)</f>
        <v>0</v>
      </c>
      <c r="N116" s="64" t="n">
        <v>0</v>
      </c>
      <c r="O116" s="65" t="e">
        <f aca="false">N116/$M116</f>
        <v>#DIV/0!</v>
      </c>
      <c r="P116" s="64" t="n">
        <v>0</v>
      </c>
      <c r="Q116" s="65" t="e">
        <f aca="false">P116/$M116</f>
        <v>#DIV/0!</v>
      </c>
      <c r="R116" s="64" t="n">
        <v>0</v>
      </c>
      <c r="S116" s="65" t="e">
        <f aca="false">R116/$M116</f>
        <v>#DIV/0!</v>
      </c>
      <c r="T116" s="64" t="n">
        <v>0</v>
      </c>
      <c r="U116" s="65" t="e">
        <f aca="false">T116/$M116</f>
        <v>#DIV/0!</v>
      </c>
      <c r="V116" s="63" t="n">
        <f aca="false">H116</f>
        <v>0</v>
      </c>
      <c r="W116" s="63" t="n">
        <f aca="false">V116</f>
        <v>0</v>
      </c>
    </row>
    <row r="117" customFormat="false" ht="13.9" hidden="false" customHeight="true" outlineLevel="0" collapsed="false">
      <c r="A117" s="62"/>
      <c r="B117" s="10" t="n">
        <v>322001</v>
      </c>
      <c r="C117" s="10" t="s">
        <v>100</v>
      </c>
      <c r="D117" s="63"/>
      <c r="E117" s="64" t="n">
        <v>0</v>
      </c>
      <c r="F117" s="64" t="n">
        <v>200000</v>
      </c>
      <c r="G117" s="64" t="n">
        <v>0</v>
      </c>
      <c r="H117" s="64" t="n">
        <v>189183</v>
      </c>
      <c r="I117" s="64"/>
      <c r="J117" s="64"/>
      <c r="K117" s="64"/>
      <c r="L117" s="64" t="n">
        <v>-5044</v>
      </c>
      <c r="M117" s="64" t="n">
        <f aca="false">H117+SUM(I117:L117)</f>
        <v>184139</v>
      </c>
      <c r="N117" s="64" t="n">
        <v>0</v>
      </c>
      <c r="O117" s="65" t="n">
        <f aca="false">N117/$M117</f>
        <v>0</v>
      </c>
      <c r="P117" s="64" t="n">
        <v>111619.82</v>
      </c>
      <c r="Q117" s="65" t="n">
        <f aca="false">P117/$M117</f>
        <v>0.606171533461135</v>
      </c>
      <c r="R117" s="64" t="n">
        <v>166902.88</v>
      </c>
      <c r="S117" s="65" t="n">
        <f aca="false">R117/$M117</f>
        <v>0.906396146389412</v>
      </c>
      <c r="T117" s="64" t="n">
        <v>184139.16</v>
      </c>
      <c r="U117" s="65" t="n">
        <f aca="false">T117/$M117</f>
        <v>1.00000086890881</v>
      </c>
      <c r="V117" s="63" t="n">
        <v>0</v>
      </c>
      <c r="W117" s="63" t="n">
        <v>0</v>
      </c>
    </row>
    <row r="118" customFormat="false" ht="13.9" hidden="true" customHeight="true" outlineLevel="0" collapsed="false">
      <c r="A118" s="62"/>
      <c r="B118" s="10" t="n">
        <v>322001</v>
      </c>
      <c r="C118" s="10" t="s">
        <v>101</v>
      </c>
      <c r="D118" s="63"/>
      <c r="E118" s="63" t="n">
        <v>0</v>
      </c>
      <c r="F118" s="63" t="n">
        <v>131000</v>
      </c>
      <c r="G118" s="63" t="n">
        <v>100000</v>
      </c>
      <c r="H118" s="63" t="n">
        <v>0</v>
      </c>
      <c r="I118" s="63"/>
      <c r="J118" s="63"/>
      <c r="K118" s="63"/>
      <c r="L118" s="63"/>
      <c r="M118" s="63" t="n">
        <f aca="false">H118+SUM(I118:L118)</f>
        <v>0</v>
      </c>
      <c r="N118" s="63" t="n">
        <v>0</v>
      </c>
      <c r="O118" s="66" t="e">
        <f aca="false">N118/$M118</f>
        <v>#DIV/0!</v>
      </c>
      <c r="P118" s="63" t="n">
        <v>0</v>
      </c>
      <c r="Q118" s="66" t="e">
        <f aca="false">P118/$M118</f>
        <v>#DIV/0!</v>
      </c>
      <c r="R118" s="63" t="n">
        <v>0</v>
      </c>
      <c r="S118" s="66" t="e">
        <f aca="false">R118/$M118</f>
        <v>#DIV/0!</v>
      </c>
      <c r="T118" s="63" t="n">
        <v>0</v>
      </c>
      <c r="U118" s="66" t="e">
        <f aca="false">T118/$M118</f>
        <v>#DIV/0!</v>
      </c>
      <c r="V118" s="63" t="n">
        <v>0</v>
      </c>
      <c r="W118" s="63" t="n">
        <v>0</v>
      </c>
    </row>
    <row r="119" customFormat="false" ht="13.9" hidden="false" customHeight="true" outlineLevel="0" collapsed="false">
      <c r="A119" s="62"/>
      <c r="B119" s="10" t="n">
        <v>322001</v>
      </c>
      <c r="C119" s="10" t="s">
        <v>102</v>
      </c>
      <c r="D119" s="63"/>
      <c r="E119" s="63" t="n">
        <v>0</v>
      </c>
      <c r="F119" s="63" t="n">
        <v>170000</v>
      </c>
      <c r="G119" s="63" t="n">
        <v>0</v>
      </c>
      <c r="H119" s="64" t="n">
        <v>166698</v>
      </c>
      <c r="I119" s="63"/>
      <c r="J119" s="63"/>
      <c r="K119" s="63"/>
      <c r="L119" s="63"/>
      <c r="M119" s="63" t="n">
        <f aca="false">H119+SUM(I119:L119)</f>
        <v>166698</v>
      </c>
      <c r="N119" s="63" t="n">
        <v>0</v>
      </c>
      <c r="O119" s="66" t="n">
        <f aca="false">N119/$M119</f>
        <v>0</v>
      </c>
      <c r="P119" s="63" t="n">
        <v>0</v>
      </c>
      <c r="Q119" s="66" t="n">
        <f aca="false">P119/$M119</f>
        <v>0</v>
      </c>
      <c r="R119" s="63" t="n">
        <v>0</v>
      </c>
      <c r="S119" s="66" t="n">
        <f aca="false">R119/$M119</f>
        <v>0</v>
      </c>
      <c r="T119" s="63" t="n">
        <v>0</v>
      </c>
      <c r="U119" s="66" t="n">
        <f aca="false">T119/$M119</f>
        <v>0</v>
      </c>
      <c r="V119" s="63" t="n">
        <v>0</v>
      </c>
      <c r="W119" s="63" t="n">
        <v>0</v>
      </c>
    </row>
    <row r="120" customFormat="false" ht="13.9" hidden="true" customHeight="true" outlineLevel="0" collapsed="false">
      <c r="A120" s="62"/>
      <c r="B120" s="10" t="n">
        <v>331001</v>
      </c>
      <c r="C120" s="10" t="s">
        <v>103</v>
      </c>
      <c r="D120" s="63" t="n">
        <v>1286</v>
      </c>
      <c r="E120" s="64" t="n">
        <v>0</v>
      </c>
      <c r="F120" s="64" t="n">
        <v>0</v>
      </c>
      <c r="G120" s="64" t="n">
        <v>0</v>
      </c>
      <c r="H120" s="64" t="n">
        <v>0</v>
      </c>
      <c r="I120" s="64"/>
      <c r="J120" s="64"/>
      <c r="K120" s="64"/>
      <c r="L120" s="64"/>
      <c r="M120" s="64" t="n">
        <f aca="false">H120+SUM(I120:L120)</f>
        <v>0</v>
      </c>
      <c r="N120" s="64" t="n">
        <v>0</v>
      </c>
      <c r="O120" s="65" t="e">
        <f aca="false">N120/$M120</f>
        <v>#DIV/0!</v>
      </c>
      <c r="P120" s="64" t="n">
        <v>0</v>
      </c>
      <c r="Q120" s="65" t="e">
        <f aca="false">P120/$M120</f>
        <v>#DIV/0!</v>
      </c>
      <c r="R120" s="64" t="n">
        <v>0</v>
      </c>
      <c r="S120" s="65" t="e">
        <f aca="false">R120/$M120</f>
        <v>#DIV/0!</v>
      </c>
      <c r="T120" s="64" t="n">
        <v>0</v>
      </c>
      <c r="U120" s="65" t="e">
        <f aca="false">T120/$M120</f>
        <v>#DIV/0!</v>
      </c>
      <c r="V120" s="63" t="n">
        <v>0</v>
      </c>
      <c r="W120" s="63" t="n">
        <f aca="false">V120</f>
        <v>0</v>
      </c>
    </row>
    <row r="121" customFormat="false" ht="13.9" hidden="false" customHeight="true" outlineLevel="0" collapsed="false">
      <c r="A121" s="67" t="s">
        <v>104</v>
      </c>
      <c r="B121" s="13" t="n">
        <v>111</v>
      </c>
      <c r="C121" s="13" t="s">
        <v>22</v>
      </c>
      <c r="D121" s="14" t="n">
        <f aca="false">SUM(D89:D120)</f>
        <v>1593522.9</v>
      </c>
      <c r="E121" s="14" t="n">
        <f aca="false">SUM(E89:E120)</f>
        <v>712245.14</v>
      </c>
      <c r="F121" s="14" t="n">
        <f aca="false">SUM(F89:F120)</f>
        <v>1163658</v>
      </c>
      <c r="G121" s="14" t="n">
        <f aca="false">SUM(G89:G120)</f>
        <v>822855.04</v>
      </c>
      <c r="H121" s="14" t="n">
        <f aca="false">SUM(H89:H120)</f>
        <v>986591</v>
      </c>
      <c r="I121" s="14" t="n">
        <f aca="false">SUM(I89:I120)</f>
        <v>12493</v>
      </c>
      <c r="J121" s="14" t="n">
        <f aca="false">SUM(J89:J120)</f>
        <v>31299</v>
      </c>
      <c r="K121" s="14" t="n">
        <f aca="false">SUM(K89:K120)</f>
        <v>52585</v>
      </c>
      <c r="L121" s="14" t="n">
        <f aca="false">SUM(L89:L120)</f>
        <v>34423</v>
      </c>
      <c r="M121" s="14" t="n">
        <f aca="false">SUM(M89:M120)</f>
        <v>1117391</v>
      </c>
      <c r="N121" s="14" t="n">
        <f aca="false">SUM(N89:N120)</f>
        <v>178070.63</v>
      </c>
      <c r="O121" s="15" t="n">
        <f aca="false">N121/$M121</f>
        <v>0.159362864028796</v>
      </c>
      <c r="P121" s="14" t="n">
        <f aca="false">SUM(P89:P120)</f>
        <v>470199.17</v>
      </c>
      <c r="Q121" s="15" t="n">
        <f aca="false">P121/$M121</f>
        <v>0.420800928233716</v>
      </c>
      <c r="R121" s="14" t="n">
        <f aca="false">SUM(R89:R120)</f>
        <v>704068.35</v>
      </c>
      <c r="S121" s="15" t="n">
        <f aca="false">R121/$M121</f>
        <v>0.630100251389174</v>
      </c>
      <c r="T121" s="14" t="n">
        <f aca="false">SUM(T89:T120)</f>
        <v>946857.87</v>
      </c>
      <c r="U121" s="15" t="n">
        <f aca="false">T121/$M121</f>
        <v>0.847382760376627</v>
      </c>
      <c r="V121" s="14" t="n">
        <f aca="false">SUM(V89:V120)</f>
        <v>634763</v>
      </c>
      <c r="W121" s="14" t="n">
        <f aca="false">SUM(W89:W120)</f>
        <v>640842</v>
      </c>
    </row>
    <row r="122" customFormat="false" ht="13.9" hidden="false" customHeight="true" outlineLevel="0" collapsed="false">
      <c r="A122" s="68" t="s">
        <v>49</v>
      </c>
      <c r="B122" s="10" t="n">
        <v>311</v>
      </c>
      <c r="C122" s="10" t="s">
        <v>105</v>
      </c>
      <c r="D122" s="63" t="n">
        <v>1400</v>
      </c>
      <c r="E122" s="64" t="n">
        <v>1400</v>
      </c>
      <c r="F122" s="64" t="n">
        <v>3000</v>
      </c>
      <c r="G122" s="64" t="n">
        <v>3000</v>
      </c>
      <c r="H122" s="64" t="n">
        <v>3000</v>
      </c>
      <c r="I122" s="64"/>
      <c r="J122" s="64"/>
      <c r="K122" s="64"/>
      <c r="L122" s="64"/>
      <c r="M122" s="64" t="n">
        <f aca="false">H122+SUM(I122:L122)</f>
        <v>3000</v>
      </c>
      <c r="N122" s="64" t="n">
        <v>0</v>
      </c>
      <c r="O122" s="65" t="n">
        <f aca="false">N122/$M122</f>
        <v>0</v>
      </c>
      <c r="P122" s="64" t="n">
        <v>3000</v>
      </c>
      <c r="Q122" s="65" t="n">
        <f aca="false">P122/$M122</f>
        <v>1</v>
      </c>
      <c r="R122" s="64" t="n">
        <v>3000</v>
      </c>
      <c r="S122" s="65" t="n">
        <f aca="false">R122/$M122</f>
        <v>1</v>
      </c>
      <c r="T122" s="64" t="n">
        <v>3000</v>
      </c>
      <c r="U122" s="65" t="n">
        <f aca="false">T122/$M122</f>
        <v>1</v>
      </c>
      <c r="V122" s="63" t="n">
        <f aca="false">H122</f>
        <v>3000</v>
      </c>
      <c r="W122" s="63" t="n">
        <f aca="false">V122</f>
        <v>3000</v>
      </c>
    </row>
    <row r="123" customFormat="false" ht="13.9" hidden="false" customHeight="true" outlineLevel="0" collapsed="false">
      <c r="A123" s="67" t="s">
        <v>104</v>
      </c>
      <c r="B123" s="13" t="n">
        <v>71</v>
      </c>
      <c r="C123" s="13" t="s">
        <v>24</v>
      </c>
      <c r="D123" s="14" t="n">
        <f aca="false">SUM(D122:D122)</f>
        <v>1400</v>
      </c>
      <c r="E123" s="14" t="n">
        <f aca="false">SUM(E122:E122)</f>
        <v>1400</v>
      </c>
      <c r="F123" s="14" t="n">
        <f aca="false">SUM(F122:F122)</f>
        <v>3000</v>
      </c>
      <c r="G123" s="14" t="n">
        <f aca="false">SUM(G122:G122)</f>
        <v>3000</v>
      </c>
      <c r="H123" s="14" t="n">
        <f aca="false">SUM(H122:H122)</f>
        <v>3000</v>
      </c>
      <c r="I123" s="14" t="n">
        <f aca="false">SUM(I122:I122)</f>
        <v>0</v>
      </c>
      <c r="J123" s="14" t="n">
        <f aca="false">SUM(J122:J122)</f>
        <v>0</v>
      </c>
      <c r="K123" s="14" t="n">
        <f aca="false">SUM(K122:K122)</f>
        <v>0</v>
      </c>
      <c r="L123" s="14" t="n">
        <f aca="false">SUM(L122:L122)</f>
        <v>0</v>
      </c>
      <c r="M123" s="14" t="n">
        <f aca="false">SUM(M122:M122)</f>
        <v>3000</v>
      </c>
      <c r="N123" s="14" t="n">
        <f aca="false">SUM(N122:N122)</f>
        <v>0</v>
      </c>
      <c r="O123" s="15" t="n">
        <f aca="false">N123/$M123</f>
        <v>0</v>
      </c>
      <c r="P123" s="14" t="n">
        <f aca="false">SUM(P122:P122)</f>
        <v>3000</v>
      </c>
      <c r="Q123" s="15" t="n">
        <f aca="false">P123/$M123</f>
        <v>1</v>
      </c>
      <c r="R123" s="14" t="n">
        <f aca="false">SUM(R122:R122)</f>
        <v>3000</v>
      </c>
      <c r="S123" s="15" t="n">
        <f aca="false">R123/$M123</f>
        <v>1</v>
      </c>
      <c r="T123" s="14" t="n">
        <f aca="false">SUM(T122:T122)</f>
        <v>3000</v>
      </c>
      <c r="U123" s="15" t="n">
        <f aca="false">T123/$M123</f>
        <v>1</v>
      </c>
      <c r="V123" s="14" t="n">
        <f aca="false">SUM(V122:V122)</f>
        <v>3000</v>
      </c>
      <c r="W123" s="14" t="n">
        <f aca="false">SUM(W122:W122)</f>
        <v>3000</v>
      </c>
    </row>
    <row r="124" customFormat="false" ht="13.9" hidden="true" customHeight="true" outlineLevel="0" collapsed="false">
      <c r="A124" s="38" t="s">
        <v>49</v>
      </c>
      <c r="B124" s="10" t="n">
        <v>311</v>
      </c>
      <c r="C124" s="10" t="s">
        <v>105</v>
      </c>
      <c r="D124" s="63" t="n">
        <v>1797.91</v>
      </c>
      <c r="E124" s="64" t="n">
        <v>62.6</v>
      </c>
      <c r="F124" s="64" t="n">
        <v>763</v>
      </c>
      <c r="G124" s="64" t="n">
        <v>455.43</v>
      </c>
      <c r="H124" s="64" t="n">
        <v>0</v>
      </c>
      <c r="I124" s="64"/>
      <c r="J124" s="64"/>
      <c r="K124" s="64"/>
      <c r="L124" s="64"/>
      <c r="M124" s="64" t="n">
        <f aca="false">H124+SUM(I124:L124)</f>
        <v>0</v>
      </c>
      <c r="N124" s="64" t="n">
        <v>0</v>
      </c>
      <c r="O124" s="65" t="e">
        <f aca="false">N124/$M124</f>
        <v>#DIV/0!</v>
      </c>
      <c r="P124" s="64" t="n">
        <v>0</v>
      </c>
      <c r="Q124" s="65" t="e">
        <f aca="false">P124/$M124</f>
        <v>#DIV/0!</v>
      </c>
      <c r="R124" s="64" t="n">
        <v>0</v>
      </c>
      <c r="S124" s="65" t="e">
        <f aca="false">R124/$M124</f>
        <v>#DIV/0!</v>
      </c>
      <c r="T124" s="64" t="n">
        <v>0</v>
      </c>
      <c r="U124" s="65" t="e">
        <f aca="false">T124/$M124</f>
        <v>#DIV/0!</v>
      </c>
      <c r="V124" s="63" t="n">
        <f aca="false">H124</f>
        <v>0</v>
      </c>
      <c r="W124" s="63" t="n">
        <f aca="false">V124</f>
        <v>0</v>
      </c>
    </row>
    <row r="125" customFormat="false" ht="13.9" hidden="false" customHeight="true" outlineLevel="0" collapsed="false">
      <c r="A125" s="38" t="s">
        <v>49</v>
      </c>
      <c r="B125" s="10" t="n">
        <v>311</v>
      </c>
      <c r="C125" s="10" t="s">
        <v>106</v>
      </c>
      <c r="D125" s="63" t="n">
        <v>3909.49</v>
      </c>
      <c r="E125" s="64" t="n">
        <v>5368.06</v>
      </c>
      <c r="F125" s="64" t="n">
        <v>4185</v>
      </c>
      <c r="G125" s="64" t="n">
        <v>2146.86</v>
      </c>
      <c r="H125" s="64" t="n">
        <v>3800</v>
      </c>
      <c r="I125" s="64"/>
      <c r="J125" s="64"/>
      <c r="K125" s="64"/>
      <c r="L125" s="64" t="n">
        <v>548</v>
      </c>
      <c r="M125" s="64" t="n">
        <f aca="false">H125+SUM(I125:L125)</f>
        <v>4348</v>
      </c>
      <c r="N125" s="64" t="n">
        <v>0</v>
      </c>
      <c r="O125" s="65" t="n">
        <f aca="false">N125/$M125</f>
        <v>0</v>
      </c>
      <c r="P125" s="64" t="n">
        <v>367.41</v>
      </c>
      <c r="Q125" s="65" t="n">
        <f aca="false">P125/$M125</f>
        <v>0.0845009199632015</v>
      </c>
      <c r="R125" s="64" t="n">
        <v>386.31</v>
      </c>
      <c r="S125" s="65" t="n">
        <f aca="false">R125/$M125</f>
        <v>0.0888477460901564</v>
      </c>
      <c r="T125" s="64" t="n">
        <v>4347.14</v>
      </c>
      <c r="U125" s="65" t="n">
        <f aca="false">T125/$M125</f>
        <v>0.999802207911684</v>
      </c>
      <c r="V125" s="63" t="n">
        <f aca="false">H125</f>
        <v>3800</v>
      </c>
      <c r="W125" s="63" t="n">
        <f aca="false">V125</f>
        <v>3800</v>
      </c>
    </row>
    <row r="126" customFormat="false" ht="13.9" hidden="false" customHeight="true" outlineLevel="0" collapsed="false">
      <c r="A126" s="67" t="s">
        <v>104</v>
      </c>
      <c r="B126" s="13" t="n">
        <v>72</v>
      </c>
      <c r="C126" s="13" t="s">
        <v>25</v>
      </c>
      <c r="D126" s="14" t="n">
        <f aca="false">SUM(D124:D125)</f>
        <v>5707.4</v>
      </c>
      <c r="E126" s="14" t="n">
        <f aca="false">SUM(E124:E125)</f>
        <v>5430.66</v>
      </c>
      <c r="F126" s="14" t="n">
        <f aca="false">SUM(F124:F125)</f>
        <v>4948</v>
      </c>
      <c r="G126" s="14" t="n">
        <f aca="false">SUM(G124:G125)</f>
        <v>2602.29</v>
      </c>
      <c r="H126" s="14" t="n">
        <f aca="false">SUM(H124:H125)</f>
        <v>3800</v>
      </c>
      <c r="I126" s="14" t="n">
        <f aca="false">SUM(I124:I125)</f>
        <v>0</v>
      </c>
      <c r="J126" s="14" t="n">
        <f aca="false">SUM(J124:J125)</f>
        <v>0</v>
      </c>
      <c r="K126" s="14" t="n">
        <f aca="false">SUM(K124:K125)</f>
        <v>0</v>
      </c>
      <c r="L126" s="14" t="n">
        <f aca="false">SUM(L124:L125)</f>
        <v>548</v>
      </c>
      <c r="M126" s="14" t="n">
        <f aca="false">SUM(M124:M125)</f>
        <v>4348</v>
      </c>
      <c r="N126" s="14" t="n">
        <f aca="false">SUM(N124:N125)</f>
        <v>0</v>
      </c>
      <c r="O126" s="15" t="n">
        <f aca="false">N126/$M126</f>
        <v>0</v>
      </c>
      <c r="P126" s="14" t="n">
        <f aca="false">SUM(P124:P125)</f>
        <v>367.41</v>
      </c>
      <c r="Q126" s="15" t="n">
        <f aca="false">P126/$M126</f>
        <v>0.0845009199632015</v>
      </c>
      <c r="R126" s="14" t="n">
        <f aca="false">SUM(R124:R125)</f>
        <v>386.31</v>
      </c>
      <c r="S126" s="15" t="n">
        <f aca="false">R126/$M126</f>
        <v>0.0888477460901564</v>
      </c>
      <c r="T126" s="14" t="n">
        <f aca="false">SUM(T124:T125)</f>
        <v>4347.14</v>
      </c>
      <c r="U126" s="15" t="n">
        <f aca="false">T126/$M126</f>
        <v>0.999802207911684</v>
      </c>
      <c r="V126" s="14" t="n">
        <f aca="false">SUM(V124:V125)</f>
        <v>3800</v>
      </c>
      <c r="W126" s="14" t="n">
        <f aca="false">SUM(W124:W125)</f>
        <v>3800</v>
      </c>
    </row>
    <row r="128" customFormat="false" ht="13.9" hidden="false" customHeight="true" outlineLevel="0" collapsed="false">
      <c r="A128" s="19" t="s">
        <v>107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0"/>
      <c r="P128" s="19"/>
      <c r="Q128" s="19"/>
      <c r="R128" s="19"/>
      <c r="S128" s="19"/>
      <c r="T128" s="19"/>
      <c r="U128" s="19"/>
      <c r="V128" s="19"/>
      <c r="W128" s="19"/>
    </row>
    <row r="129" customFormat="false" ht="13.9" hidden="false" customHeight="true" outlineLevel="0" collapsed="false">
      <c r="A129" s="6"/>
      <c r="B129" s="6"/>
      <c r="C129" s="6"/>
      <c r="D129" s="7" t="s">
        <v>1</v>
      </c>
      <c r="E129" s="7" t="s">
        <v>2</v>
      </c>
      <c r="F129" s="7" t="s">
        <v>3</v>
      </c>
      <c r="G129" s="7" t="s">
        <v>4</v>
      </c>
      <c r="H129" s="7" t="s">
        <v>5</v>
      </c>
      <c r="I129" s="7" t="s">
        <v>6</v>
      </c>
      <c r="J129" s="7" t="s">
        <v>7</v>
      </c>
      <c r="K129" s="7" t="s">
        <v>8</v>
      </c>
      <c r="L129" s="7" t="s">
        <v>9</v>
      </c>
      <c r="M129" s="7" t="s">
        <v>10</v>
      </c>
      <c r="N129" s="7" t="s">
        <v>11</v>
      </c>
      <c r="O129" s="8" t="s">
        <v>12</v>
      </c>
      <c r="P129" s="7" t="s">
        <v>13</v>
      </c>
      <c r="Q129" s="8" t="s">
        <v>14</v>
      </c>
      <c r="R129" s="7" t="s">
        <v>15</v>
      </c>
      <c r="S129" s="8" t="s">
        <v>16</v>
      </c>
      <c r="T129" s="7" t="s">
        <v>17</v>
      </c>
      <c r="U129" s="8" t="s">
        <v>18</v>
      </c>
      <c r="V129" s="7" t="s">
        <v>19</v>
      </c>
      <c r="W129" s="7" t="s">
        <v>20</v>
      </c>
    </row>
    <row r="130" customFormat="false" ht="13.9" hidden="false" customHeight="true" outlineLevel="0" collapsed="false">
      <c r="A130" s="21" t="s">
        <v>21</v>
      </c>
      <c r="B130" s="22" t="n">
        <v>131</v>
      </c>
      <c r="C130" s="22" t="s">
        <v>47</v>
      </c>
      <c r="D130" s="23" t="n">
        <f aca="false">D137+D141</f>
        <v>3137.87</v>
      </c>
      <c r="E130" s="23" t="n">
        <f aca="false">E137+E141</f>
        <v>14889.34</v>
      </c>
      <c r="F130" s="23" t="n">
        <f aca="false">F137+F141</f>
        <v>34161</v>
      </c>
      <c r="G130" s="23" t="n">
        <f aca="false">G137+G141</f>
        <v>34161.16</v>
      </c>
      <c r="H130" s="23" t="n">
        <f aca="false">H137+H141</f>
        <v>10884</v>
      </c>
      <c r="I130" s="23" t="n">
        <f aca="false">I137+I141</f>
        <v>58471</v>
      </c>
      <c r="J130" s="23" t="n">
        <f aca="false">J137+J141</f>
        <v>61</v>
      </c>
      <c r="K130" s="23" t="n">
        <f aca="false">K137+K141</f>
        <v>0</v>
      </c>
      <c r="L130" s="23" t="n">
        <f aca="false">L137+L141</f>
        <v>0</v>
      </c>
      <c r="M130" s="23" t="n">
        <f aca="false">M137+M141</f>
        <v>69416</v>
      </c>
      <c r="N130" s="23" t="n">
        <f aca="false">N137+N141</f>
        <v>69416.21</v>
      </c>
      <c r="O130" s="24" t="n">
        <f aca="false">N130/$M130</f>
        <v>1.00000302523914</v>
      </c>
      <c r="P130" s="23" t="n">
        <f aca="false">P137+P141</f>
        <v>69416.21</v>
      </c>
      <c r="Q130" s="24" t="n">
        <f aca="false">P130/$M130</f>
        <v>1.00000302523914</v>
      </c>
      <c r="R130" s="23" t="n">
        <f aca="false">R137+R141</f>
        <v>69416.21</v>
      </c>
      <c r="S130" s="24" t="n">
        <f aca="false">R130/$M130</f>
        <v>1.00000302523914</v>
      </c>
      <c r="T130" s="23" t="n">
        <f aca="false">T137+T141</f>
        <v>69416.21</v>
      </c>
      <c r="U130" s="24" t="n">
        <f aca="false">T130/$M130</f>
        <v>1.00000302523914</v>
      </c>
      <c r="V130" s="23" t="n">
        <f aca="false">V137+V141</f>
        <v>0</v>
      </c>
      <c r="W130" s="23" t="n">
        <f aca="false">W137+W141</f>
        <v>0</v>
      </c>
    </row>
    <row r="131" customFormat="false" ht="13.9" hidden="false" customHeight="true" outlineLevel="0" collapsed="false">
      <c r="A131" s="21"/>
      <c r="B131" s="22" t="n">
        <v>41</v>
      </c>
      <c r="C131" s="22" t="s">
        <v>23</v>
      </c>
      <c r="D131" s="23" t="n">
        <f aca="false">D138+D139</f>
        <v>170790.2</v>
      </c>
      <c r="E131" s="23" t="n">
        <f aca="false">E138+E139</f>
        <v>361389.5</v>
      </c>
      <c r="F131" s="23" t="n">
        <f aca="false">F138+F139</f>
        <v>762580</v>
      </c>
      <c r="G131" s="23" t="n">
        <f aca="false">G138+G139</f>
        <v>759956.17</v>
      </c>
      <c r="H131" s="23" t="n">
        <f aca="false">H138+H139</f>
        <v>426046</v>
      </c>
      <c r="I131" s="23" t="n">
        <f aca="false">I138+I139</f>
        <v>0</v>
      </c>
      <c r="J131" s="23" t="n">
        <f aca="false">J138+J139</f>
        <v>-22347</v>
      </c>
      <c r="K131" s="23" t="n">
        <f aca="false">K138+K139</f>
        <v>0</v>
      </c>
      <c r="L131" s="23" t="n">
        <f aca="false">L138+L139</f>
        <v>0</v>
      </c>
      <c r="M131" s="23" t="n">
        <f aca="false">M138+M139</f>
        <v>403699</v>
      </c>
      <c r="N131" s="23" t="n">
        <f aca="false">N138+N139</f>
        <v>403699.06</v>
      </c>
      <c r="O131" s="24" t="n">
        <f aca="false">N131/$M131</f>
        <v>1.00000014862559</v>
      </c>
      <c r="P131" s="23" t="n">
        <f aca="false">P138+P139</f>
        <v>403699.06</v>
      </c>
      <c r="Q131" s="24" t="n">
        <f aca="false">P131/$M131</f>
        <v>1.00000014862559</v>
      </c>
      <c r="R131" s="23" t="n">
        <f aca="false">R138+R139</f>
        <v>403699.06</v>
      </c>
      <c r="S131" s="24" t="n">
        <f aca="false">R131/$M131</f>
        <v>1.00000014862559</v>
      </c>
      <c r="T131" s="23" t="n">
        <f aca="false">T138+T139</f>
        <v>403699.06</v>
      </c>
      <c r="U131" s="24" t="n">
        <f aca="false">T131/$M131</f>
        <v>1.00000014862559</v>
      </c>
      <c r="V131" s="23" t="n">
        <f aca="false">V138+V139</f>
        <v>0</v>
      </c>
      <c r="W131" s="23" t="n">
        <f aca="false">W138+W139</f>
        <v>0</v>
      </c>
    </row>
    <row r="132" customFormat="false" ht="13.9" hidden="false" customHeight="true" outlineLevel="0" collapsed="false">
      <c r="A132" s="21"/>
      <c r="B132" s="22" t="n">
        <v>52</v>
      </c>
      <c r="C132" s="22" t="s">
        <v>28</v>
      </c>
      <c r="D132" s="23" t="n">
        <v>0</v>
      </c>
      <c r="E132" s="23" t="n">
        <v>0</v>
      </c>
      <c r="F132" s="23" t="n">
        <v>0</v>
      </c>
      <c r="G132" s="23" t="n">
        <v>0</v>
      </c>
      <c r="H132" s="23" t="n">
        <v>0</v>
      </c>
      <c r="I132" s="23" t="n">
        <v>0</v>
      </c>
      <c r="J132" s="23" t="n">
        <v>0</v>
      </c>
      <c r="K132" s="23" t="n">
        <v>0</v>
      </c>
      <c r="L132" s="23" t="n">
        <v>0</v>
      </c>
      <c r="M132" s="23" t="n">
        <v>0</v>
      </c>
      <c r="N132" s="23" t="n">
        <v>0</v>
      </c>
      <c r="O132" s="24" t="e">
        <f aca="false">N132/$M132</f>
        <v>#DIV/0!</v>
      </c>
      <c r="P132" s="23" t="n">
        <v>0</v>
      </c>
      <c r="Q132" s="24" t="e">
        <f aca="false">P132/$M132</f>
        <v>#DIV/0!</v>
      </c>
      <c r="R132" s="23" t="n">
        <v>0</v>
      </c>
      <c r="S132" s="24" t="e">
        <f aca="false">R132/$M132</f>
        <v>#DIV/0!</v>
      </c>
      <c r="T132" s="23" t="n">
        <v>0</v>
      </c>
      <c r="U132" s="24" t="e">
        <f aca="false">T132/$M132</f>
        <v>#DIV/0!</v>
      </c>
      <c r="V132" s="23" t="n">
        <v>0</v>
      </c>
      <c r="W132" s="23" t="n">
        <v>0</v>
      </c>
    </row>
    <row r="133" customFormat="false" ht="13.9" hidden="false" customHeight="true" outlineLevel="0" collapsed="false">
      <c r="A133" s="21"/>
      <c r="B133" s="22" t="n">
        <v>71</v>
      </c>
      <c r="C133" s="22" t="s">
        <v>24</v>
      </c>
      <c r="D133" s="23" t="n">
        <f aca="false">D140+D142</f>
        <v>5317.83</v>
      </c>
      <c r="E133" s="23" t="n">
        <f aca="false">E140+E142</f>
        <v>6320.3</v>
      </c>
      <c r="F133" s="23" t="n">
        <f aca="false">F140+F142</f>
        <v>0</v>
      </c>
      <c r="G133" s="23" t="n">
        <f aca="false">G140+G142</f>
        <v>3760.3</v>
      </c>
      <c r="H133" s="23" t="n">
        <f aca="false">H140+H142</f>
        <v>3760</v>
      </c>
      <c r="I133" s="23" t="n">
        <f aca="false">I140+I142</f>
        <v>0</v>
      </c>
      <c r="J133" s="23" t="n">
        <f aca="false">J140+J142</f>
        <v>10937</v>
      </c>
      <c r="K133" s="23" t="n">
        <f aca="false">K140+K142</f>
        <v>-700</v>
      </c>
      <c r="L133" s="23" t="n">
        <f aca="false">L140+L142</f>
        <v>0</v>
      </c>
      <c r="M133" s="23" t="n">
        <f aca="false">M140+M142</f>
        <v>13997</v>
      </c>
      <c r="N133" s="23" t="n">
        <f aca="false">N140+N142</f>
        <v>3760.3</v>
      </c>
      <c r="O133" s="24" t="n">
        <f aca="false">N133/$M133</f>
        <v>0.268650425091091</v>
      </c>
      <c r="P133" s="23" t="n">
        <f aca="false">P140+P142</f>
        <v>3760.3</v>
      </c>
      <c r="Q133" s="24" t="n">
        <f aca="false">P133/$M133</f>
        <v>0.268650425091091</v>
      </c>
      <c r="R133" s="23" t="n">
        <f aca="false">R140+R142</f>
        <v>4060.3</v>
      </c>
      <c r="S133" s="24" t="n">
        <f aca="false">R133/$M133</f>
        <v>0.290083589340573</v>
      </c>
      <c r="T133" s="23" t="n">
        <f aca="false">T140+T142</f>
        <v>4060.3</v>
      </c>
      <c r="U133" s="24" t="n">
        <f aca="false">T133/$M133</f>
        <v>0.290083589340573</v>
      </c>
      <c r="V133" s="23" t="n">
        <f aca="false">V140+V142</f>
        <v>0</v>
      </c>
      <c r="W133" s="23" t="n">
        <f aca="false">W140+W142</f>
        <v>0</v>
      </c>
    </row>
    <row r="134" customFormat="false" ht="13.9" hidden="false" customHeight="true" outlineLevel="0" collapsed="false">
      <c r="A134" s="21"/>
      <c r="B134" s="22" t="n">
        <v>72</v>
      </c>
      <c r="C134" s="22" t="s">
        <v>25</v>
      </c>
      <c r="D134" s="23" t="n">
        <f aca="false">D143</f>
        <v>0</v>
      </c>
      <c r="E134" s="23" t="n">
        <f aca="false">E143</f>
        <v>10178.58</v>
      </c>
      <c r="F134" s="23" t="n">
        <f aca="false">F143</f>
        <v>9453</v>
      </c>
      <c r="G134" s="23" t="n">
        <f aca="false">G143</f>
        <v>9542.74</v>
      </c>
      <c r="H134" s="23" t="n">
        <f aca="false">H143</f>
        <v>0</v>
      </c>
      <c r="I134" s="23" t="n">
        <f aca="false">I143</f>
        <v>0</v>
      </c>
      <c r="J134" s="23" t="n">
        <f aca="false">J143</f>
        <v>0</v>
      </c>
      <c r="K134" s="23" t="n">
        <f aca="false">K143</f>
        <v>0</v>
      </c>
      <c r="L134" s="23" t="n">
        <f aca="false">L143</f>
        <v>0</v>
      </c>
      <c r="M134" s="23" t="n">
        <f aca="false">M143</f>
        <v>0</v>
      </c>
      <c r="N134" s="23" t="n">
        <f aca="false">N143</f>
        <v>0</v>
      </c>
      <c r="O134" s="24" t="e">
        <f aca="false">N134/$M134</f>
        <v>#DIV/0!</v>
      </c>
      <c r="P134" s="23" t="n">
        <f aca="false">P143</f>
        <v>0</v>
      </c>
      <c r="Q134" s="24" t="e">
        <f aca="false">P134/$M134</f>
        <v>#DIV/0!</v>
      </c>
      <c r="R134" s="23" t="n">
        <f aca="false">R143</f>
        <v>0</v>
      </c>
      <c r="S134" s="24" t="e">
        <f aca="false">R134/$M134</f>
        <v>#DIV/0!</v>
      </c>
      <c r="T134" s="23" t="n">
        <f aca="false">T143</f>
        <v>0</v>
      </c>
      <c r="U134" s="24" t="e">
        <f aca="false">T134/$M134</f>
        <v>#DIV/0!</v>
      </c>
      <c r="V134" s="23" t="n">
        <f aca="false">V143</f>
        <v>0</v>
      </c>
      <c r="W134" s="23" t="n">
        <f aca="false">W143</f>
        <v>0</v>
      </c>
    </row>
    <row r="135" customFormat="false" ht="13.9" hidden="false" customHeight="true" outlineLevel="0" collapsed="false">
      <c r="A135" s="17"/>
      <c r="B135" s="18"/>
      <c r="C135" s="25" t="s">
        <v>30</v>
      </c>
      <c r="D135" s="26" t="n">
        <f aca="false">SUM(D130:D134)</f>
        <v>179245.9</v>
      </c>
      <c r="E135" s="26" t="n">
        <f aca="false">SUM(E130:E134)</f>
        <v>392777.72</v>
      </c>
      <c r="F135" s="26" t="n">
        <f aca="false">SUM(F130:F134)</f>
        <v>806194</v>
      </c>
      <c r="G135" s="26" t="n">
        <f aca="false">SUM(G130:G134)</f>
        <v>807420.37</v>
      </c>
      <c r="H135" s="26" t="n">
        <f aca="false">SUM(H130:H134)</f>
        <v>440690</v>
      </c>
      <c r="I135" s="26" t="n">
        <f aca="false">SUM(I130:I134)</f>
        <v>58471</v>
      </c>
      <c r="J135" s="26" t="n">
        <f aca="false">SUM(J130:J134)</f>
        <v>-11349</v>
      </c>
      <c r="K135" s="26" t="n">
        <f aca="false">SUM(K130:K134)</f>
        <v>-700</v>
      </c>
      <c r="L135" s="26" t="n">
        <f aca="false">SUM(L130:L134)</f>
        <v>0</v>
      </c>
      <c r="M135" s="26" t="n">
        <f aca="false">SUM(M130:M134)</f>
        <v>487112</v>
      </c>
      <c r="N135" s="26" t="n">
        <f aca="false">SUM(N130:N134)</f>
        <v>476875.57</v>
      </c>
      <c r="O135" s="27" t="n">
        <f aca="false">N135/$M135</f>
        <v>0.978985469460822</v>
      </c>
      <c r="P135" s="26" t="n">
        <f aca="false">SUM(P130:P134)</f>
        <v>476875.57</v>
      </c>
      <c r="Q135" s="27" t="n">
        <f aca="false">P135/$M135</f>
        <v>0.978985469460822</v>
      </c>
      <c r="R135" s="26" t="n">
        <f aca="false">SUM(R130:R134)</f>
        <v>477175.57</v>
      </c>
      <c r="S135" s="27" t="n">
        <f aca="false">R135/$M135</f>
        <v>0.979601344249372</v>
      </c>
      <c r="T135" s="26" t="n">
        <f aca="false">SUM(T130:T134)</f>
        <v>477175.57</v>
      </c>
      <c r="U135" s="27" t="n">
        <f aca="false">T135/$M135</f>
        <v>0.979601344249372</v>
      </c>
      <c r="V135" s="26" t="n">
        <f aca="false">SUM(V130:V134)</f>
        <v>0</v>
      </c>
      <c r="W135" s="26" t="n">
        <f aca="false">SUM(W130:W134)</f>
        <v>0</v>
      </c>
    </row>
    <row r="137" customFormat="false" ht="13.9" hidden="false" customHeight="true" outlineLevel="0" collapsed="false">
      <c r="B137" s="39" t="s">
        <v>57</v>
      </c>
      <c r="C137" s="17" t="s">
        <v>108</v>
      </c>
      <c r="D137" s="40" t="n">
        <v>3137.87</v>
      </c>
      <c r="E137" s="40" t="n">
        <v>14603.93</v>
      </c>
      <c r="F137" s="40" t="n">
        <v>34161</v>
      </c>
      <c r="G137" s="40" t="n">
        <v>34161.16</v>
      </c>
      <c r="H137" s="40" t="n">
        <v>10884</v>
      </c>
      <c r="I137" s="40" t="n">
        <f aca="false">30899+24431+3141</f>
        <v>58471</v>
      </c>
      <c r="J137" s="40" t="n">
        <v>61</v>
      </c>
      <c r="K137" s="40"/>
      <c r="L137" s="40"/>
      <c r="M137" s="40" t="n">
        <f aca="false">H137+SUM(I137:L137)</f>
        <v>69416</v>
      </c>
      <c r="N137" s="40" t="n">
        <v>69416.21</v>
      </c>
      <c r="O137" s="41" t="n">
        <f aca="false">N137/$M137</f>
        <v>1.00000302523914</v>
      </c>
      <c r="P137" s="40" t="n">
        <v>69416.21</v>
      </c>
      <c r="Q137" s="41" t="n">
        <f aca="false">P137/$M137</f>
        <v>1.00000302523914</v>
      </c>
      <c r="R137" s="40" t="n">
        <v>69416.21</v>
      </c>
      <c r="S137" s="41" t="n">
        <f aca="false">R137/$M137</f>
        <v>1.00000302523914</v>
      </c>
      <c r="T137" s="40" t="n">
        <v>69416.21</v>
      </c>
      <c r="U137" s="42" t="n">
        <f aca="false">T137/$M137</f>
        <v>1.00000302523914</v>
      </c>
      <c r="V137" s="40"/>
      <c r="W137" s="43"/>
    </row>
    <row r="138" customFormat="false" ht="13.9" hidden="false" customHeight="true" outlineLevel="0" collapsed="false">
      <c r="B138" s="44"/>
      <c r="C138" s="1" t="s">
        <v>109</v>
      </c>
      <c r="D138" s="46" t="n">
        <v>170790.2</v>
      </c>
      <c r="E138" s="46" t="n">
        <v>157822.74</v>
      </c>
      <c r="F138" s="46" t="n">
        <f aca="false">1328+795413-F137-F139</f>
        <v>559013</v>
      </c>
      <c r="G138" s="46" t="n">
        <v>187207.85</v>
      </c>
      <c r="H138" s="46" t="n">
        <f aca="false">ROUND(G147,0)-H137-H140-H139</f>
        <v>426046</v>
      </c>
      <c r="I138" s="46"/>
      <c r="J138" s="46" t="n">
        <f aca="false">-413340</f>
        <v>-413340</v>
      </c>
      <c r="K138" s="46"/>
      <c r="L138" s="46"/>
      <c r="M138" s="46" t="n">
        <f aca="false">H138+SUM(I138:L138)</f>
        <v>12706</v>
      </c>
      <c r="N138" s="46" t="n">
        <v>403699.06</v>
      </c>
      <c r="O138" s="2" t="n">
        <f aca="false">N138/$M138</f>
        <v>31.7723170155832</v>
      </c>
      <c r="P138" s="46" t="n">
        <v>12705.67</v>
      </c>
      <c r="Q138" s="2" t="n">
        <f aca="false">P138/$M138</f>
        <v>0.999974028018259</v>
      </c>
      <c r="R138" s="46" t="n">
        <v>12705.67</v>
      </c>
      <c r="S138" s="2" t="n">
        <f aca="false">R138/$M138</f>
        <v>0.999974028018259</v>
      </c>
      <c r="T138" s="46" t="n">
        <v>12705.67</v>
      </c>
      <c r="U138" s="47" t="n">
        <f aca="false">T138/$M138</f>
        <v>0.999974028018259</v>
      </c>
      <c r="V138" s="46"/>
      <c r="W138" s="48"/>
    </row>
    <row r="139" customFormat="false" ht="13.9" hidden="false" customHeight="true" outlineLevel="0" collapsed="false">
      <c r="B139" s="44"/>
      <c r="C139" s="45" t="s">
        <v>110</v>
      </c>
      <c r="D139" s="46"/>
      <c r="E139" s="46" t="n">
        <v>203566.76</v>
      </c>
      <c r="F139" s="46" t="n">
        <v>203567</v>
      </c>
      <c r="G139" s="46" t="n">
        <v>572748.32</v>
      </c>
      <c r="H139" s="46"/>
      <c r="I139" s="46"/>
      <c r="J139" s="46" t="n">
        <v>390993</v>
      </c>
      <c r="K139" s="46"/>
      <c r="L139" s="46"/>
      <c r="M139" s="46" t="n">
        <f aca="false">H139+SUM(I139:L139)</f>
        <v>390993</v>
      </c>
      <c r="N139" s="46" t="n">
        <v>0</v>
      </c>
      <c r="O139" s="2" t="n">
        <f aca="false">N139/$M139</f>
        <v>0</v>
      </c>
      <c r="P139" s="46" t="n">
        <v>390993.39</v>
      </c>
      <c r="Q139" s="2" t="n">
        <f aca="false">P139/$M139</f>
        <v>1.00000099746031</v>
      </c>
      <c r="R139" s="46" t="n">
        <v>390993.39</v>
      </c>
      <c r="S139" s="2" t="n">
        <f aca="false">R139/$M139</f>
        <v>1.00000099746031</v>
      </c>
      <c r="T139" s="46" t="n">
        <v>390993.39</v>
      </c>
      <c r="U139" s="47" t="n">
        <f aca="false">T139/$M139</f>
        <v>1.00000099746031</v>
      </c>
      <c r="V139" s="46"/>
      <c r="W139" s="48"/>
    </row>
    <row r="140" customFormat="false" ht="13.9" hidden="false" customHeight="true" outlineLevel="0" collapsed="false">
      <c r="B140" s="44"/>
      <c r="C140" s="69" t="s">
        <v>111</v>
      </c>
      <c r="D140" s="70" t="n">
        <v>5317.83</v>
      </c>
      <c r="E140" s="70" t="n">
        <v>3760.3</v>
      </c>
      <c r="F140" s="70"/>
      <c r="G140" s="70" t="n">
        <v>3760.3</v>
      </c>
      <c r="H140" s="70" t="n">
        <v>3760</v>
      </c>
      <c r="I140" s="70"/>
      <c r="J140" s="70" t="n">
        <v>1000</v>
      </c>
      <c r="K140" s="70" t="n">
        <v>-700</v>
      </c>
      <c r="L140" s="70"/>
      <c r="M140" s="70" t="n">
        <f aca="false">H140+SUM(I140:L140)</f>
        <v>4060</v>
      </c>
      <c r="N140" s="70" t="n">
        <v>3760.3</v>
      </c>
      <c r="O140" s="71" t="n">
        <f aca="false">N140/$M140</f>
        <v>0.926182266009852</v>
      </c>
      <c r="P140" s="70" t="n">
        <v>3760.3</v>
      </c>
      <c r="Q140" s="71" t="n">
        <f aca="false">P140/$M140</f>
        <v>0.926182266009852</v>
      </c>
      <c r="R140" s="70" t="n">
        <v>4060.3</v>
      </c>
      <c r="S140" s="71" t="n">
        <f aca="false">R140/$M140</f>
        <v>1.00007389162562</v>
      </c>
      <c r="T140" s="70" t="n">
        <v>4060.3</v>
      </c>
      <c r="U140" s="47" t="n">
        <f aca="false">T140/$M140</f>
        <v>1.00007389162562</v>
      </c>
      <c r="V140" s="70"/>
      <c r="W140" s="48"/>
    </row>
    <row r="141" customFormat="false" ht="13.9" hidden="true" customHeight="true" outlineLevel="0" collapsed="false">
      <c r="B141" s="44"/>
      <c r="C141" s="45" t="s">
        <v>112</v>
      </c>
      <c r="D141" s="46"/>
      <c r="E141" s="46" t="n">
        <v>285.41</v>
      </c>
      <c r="F141" s="46"/>
      <c r="G141" s="46"/>
      <c r="H141" s="46" t="n">
        <v>0</v>
      </c>
      <c r="I141" s="46"/>
      <c r="J141" s="46"/>
      <c r="K141" s="46"/>
      <c r="L141" s="46"/>
      <c r="M141" s="70" t="n">
        <f aca="false">H141+SUM(I141:L141)</f>
        <v>0</v>
      </c>
      <c r="N141" s="46" t="n">
        <v>0</v>
      </c>
      <c r="O141" s="71" t="e">
        <f aca="false">N141/$M141</f>
        <v>#DIV/0!</v>
      </c>
      <c r="P141" s="46" t="n">
        <v>0</v>
      </c>
      <c r="Q141" s="71" t="e">
        <f aca="false">P141/$M141</f>
        <v>#DIV/0!</v>
      </c>
      <c r="R141" s="46" t="n">
        <v>0</v>
      </c>
      <c r="S141" s="71" t="e">
        <f aca="false">R141/$M141</f>
        <v>#DIV/0!</v>
      </c>
      <c r="T141" s="46"/>
      <c r="U141" s="47" t="e">
        <f aca="false">T141/$M141</f>
        <v>#DIV/0!</v>
      </c>
      <c r="V141" s="46"/>
      <c r="W141" s="48"/>
    </row>
    <row r="142" customFormat="false" ht="13.9" hidden="false" customHeight="true" outlineLevel="0" collapsed="false">
      <c r="B142" s="52"/>
      <c r="C142" s="53" t="s">
        <v>113</v>
      </c>
      <c r="D142" s="54"/>
      <c r="E142" s="54" t="n">
        <v>2560</v>
      </c>
      <c r="F142" s="54"/>
      <c r="G142" s="54"/>
      <c r="H142" s="54" t="n">
        <v>0</v>
      </c>
      <c r="I142" s="54"/>
      <c r="J142" s="54" t="n">
        <v>9937</v>
      </c>
      <c r="K142" s="54"/>
      <c r="L142" s="54"/>
      <c r="M142" s="54" t="n">
        <f aca="false">H142+SUM(I142:L142)</f>
        <v>9937</v>
      </c>
      <c r="N142" s="54" t="n">
        <v>0</v>
      </c>
      <c r="O142" s="55" t="n">
        <f aca="false">N142/$M142</f>
        <v>0</v>
      </c>
      <c r="P142" s="54" t="n">
        <v>0</v>
      </c>
      <c r="Q142" s="55" t="n">
        <f aca="false">P142/$M142</f>
        <v>0</v>
      </c>
      <c r="R142" s="54" t="n">
        <v>0</v>
      </c>
      <c r="S142" s="55" t="n">
        <f aca="false">R142/$M142</f>
        <v>0</v>
      </c>
      <c r="T142" s="54"/>
      <c r="U142" s="56" t="n">
        <f aca="false">T142/$M142</f>
        <v>0</v>
      </c>
      <c r="V142" s="46"/>
      <c r="W142" s="48"/>
    </row>
    <row r="143" customFormat="false" ht="13.9" hidden="true" customHeight="true" outlineLevel="0" collapsed="false">
      <c r="B143" s="52"/>
      <c r="C143" s="53" t="s">
        <v>114</v>
      </c>
      <c r="D143" s="54"/>
      <c r="E143" s="54" t="n">
        <v>10178.58</v>
      </c>
      <c r="F143" s="54" t="n">
        <v>9453</v>
      </c>
      <c r="G143" s="54" t="n">
        <v>9542.74</v>
      </c>
      <c r="H143" s="54" t="n">
        <v>0</v>
      </c>
      <c r="I143" s="54"/>
      <c r="J143" s="54"/>
      <c r="K143" s="54"/>
      <c r="L143" s="54"/>
      <c r="M143" s="54" t="n">
        <f aca="false">H143+SUM(I143:L143)</f>
        <v>0</v>
      </c>
      <c r="N143" s="54" t="n">
        <v>0</v>
      </c>
      <c r="O143" s="55" t="e">
        <f aca="false">N143/$M143</f>
        <v>#DIV/0!</v>
      </c>
      <c r="P143" s="54" t="n">
        <v>0</v>
      </c>
      <c r="Q143" s="55" t="e">
        <f aca="false">P143/$M143</f>
        <v>#DIV/0!</v>
      </c>
      <c r="R143" s="54" t="n">
        <v>0</v>
      </c>
      <c r="S143" s="55" t="e">
        <f aca="false">R143/$M143</f>
        <v>#DIV/0!</v>
      </c>
      <c r="T143" s="54"/>
      <c r="U143" s="56" t="e">
        <f aca="false">T143/$M143</f>
        <v>#DIV/0!</v>
      </c>
      <c r="V143" s="54"/>
      <c r="W143" s="57"/>
    </row>
    <row r="145" customFormat="false" ht="13.9" hidden="false" customHeight="true" outlineLevel="0" collapsed="false">
      <c r="A145" s="19" t="s">
        <v>115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0"/>
      <c r="P145" s="19"/>
      <c r="Q145" s="19"/>
      <c r="R145" s="19"/>
      <c r="S145" s="19"/>
      <c r="T145" s="19"/>
      <c r="U145" s="19"/>
      <c r="V145" s="19"/>
      <c r="W145" s="19"/>
    </row>
    <row r="146" customFormat="false" ht="13.9" hidden="false" customHeight="true" outlineLevel="0" collapsed="false">
      <c r="A146" s="6"/>
      <c r="B146" s="6"/>
      <c r="C146" s="6"/>
      <c r="D146" s="7" t="s">
        <v>1</v>
      </c>
      <c r="E146" s="7" t="s">
        <v>2</v>
      </c>
      <c r="F146" s="7" t="s">
        <v>3</v>
      </c>
      <c r="G146" s="7" t="s">
        <v>4</v>
      </c>
      <c r="H146" s="7" t="s">
        <v>5</v>
      </c>
      <c r="I146" s="7" t="s">
        <v>6</v>
      </c>
      <c r="J146" s="7" t="s">
        <v>7</v>
      </c>
      <c r="K146" s="7" t="s">
        <v>8</v>
      </c>
      <c r="L146" s="7" t="s">
        <v>9</v>
      </c>
      <c r="M146" s="7" t="s">
        <v>10</v>
      </c>
      <c r="N146" s="7" t="s">
        <v>11</v>
      </c>
      <c r="O146" s="8" t="s">
        <v>12</v>
      </c>
      <c r="P146" s="7" t="s">
        <v>13</v>
      </c>
      <c r="Q146" s="8" t="s">
        <v>14</v>
      </c>
      <c r="R146" s="7" t="s">
        <v>15</v>
      </c>
      <c r="S146" s="8" t="s">
        <v>16</v>
      </c>
      <c r="T146" s="7" t="s">
        <v>17</v>
      </c>
      <c r="U146" s="8" t="s">
        <v>18</v>
      </c>
      <c r="V146" s="7" t="s">
        <v>19</v>
      </c>
      <c r="W146" s="7" t="s">
        <v>20</v>
      </c>
    </row>
    <row r="147" customFormat="false" ht="13.9" hidden="false" customHeight="true" outlineLevel="0" collapsed="false">
      <c r="D147" s="23" t="n">
        <f aca="false">D22-výdaje!G20</f>
        <v>395798.76</v>
      </c>
      <c r="E147" s="23" t="n">
        <f aca="false">E22-výdaje!H20</f>
        <v>793560.44</v>
      </c>
      <c r="F147" s="23" t="n">
        <f aca="false">F22-výdaje!I20</f>
        <v>0</v>
      </c>
      <c r="G147" s="23" t="n">
        <f aca="false">G22-výdaje!J20</f>
        <v>440689.56</v>
      </c>
      <c r="H147" s="23" t="n">
        <f aca="false">H22-výdaje!K20</f>
        <v>0</v>
      </c>
      <c r="I147" s="23" t="n">
        <f aca="false">I22-výdaje!L20</f>
        <v>-237</v>
      </c>
      <c r="J147" s="23" t="n">
        <f aca="false">J22-výdaje!M20</f>
        <v>237</v>
      </c>
      <c r="K147" s="23" t="n">
        <f aca="false">K22-výdaje!N20</f>
        <v>0</v>
      </c>
      <c r="L147" s="23" t="n">
        <f aca="false">L22-výdaje!O20</f>
        <v>0</v>
      </c>
      <c r="M147" s="23" t="n">
        <f aca="false">M22-výdaje!P20</f>
        <v>0</v>
      </c>
      <c r="N147" s="23" t="n">
        <f aca="false">N22-výdaje!Q20</f>
        <v>601007.72</v>
      </c>
      <c r="O147" s="24" t="e">
        <f aca="false">N147/$M147</f>
        <v>#DIV/0!</v>
      </c>
      <c r="P147" s="23" t="n">
        <f aca="false">P22-výdaje!S20</f>
        <v>494085.31</v>
      </c>
      <c r="Q147" s="24" t="e">
        <f aca="false">P147/$M147</f>
        <v>#DIV/0!</v>
      </c>
      <c r="R147" s="23" t="n">
        <f aca="false">R22-výdaje!U20</f>
        <v>279324.53</v>
      </c>
      <c r="S147" s="24" t="e">
        <f aca="false">R147/$M147</f>
        <v>#DIV/0!</v>
      </c>
      <c r="T147" s="23" t="n">
        <f aca="false">T22-výdaje!W20</f>
        <v>239175.44</v>
      </c>
      <c r="U147" s="24" t="e">
        <f aca="false">T147/$M147</f>
        <v>#DIV/0!</v>
      </c>
      <c r="V147" s="23" t="n">
        <f aca="false">V22-výdaje!Y20</f>
        <v>0</v>
      </c>
      <c r="W147" s="23" t="n">
        <f aca="false">W22-výdaje!Z20</f>
        <v>0</v>
      </c>
    </row>
  </sheetData>
  <mergeCells count="8">
    <mergeCell ref="A3:A21"/>
    <mergeCell ref="A31:A39"/>
    <mergeCell ref="A44:A47"/>
    <mergeCell ref="A54:A59"/>
    <mergeCell ref="A63:A64"/>
    <mergeCell ref="A82:A84"/>
    <mergeCell ref="A89:A120"/>
    <mergeCell ref="A130:A134"/>
  </mergeCells>
  <printOptions headings="false" gridLines="false" gridLinesSet="true" horizontalCentered="true" verticalCentered="false"/>
  <pageMargins left="0.236111111111111" right="0.236111111111111" top="0.3" bottom="0.3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23" man="true" max="16383" min="0"/>
    <brk id="7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B1048576"/>
  <sheetViews>
    <sheetView showFormulas="false" showGridLines="true" showRowColHeaders="true" showZeros="true" rightToLeft="false" tabSelected="false" showOutlineSymbols="true" defaultGridColor="false" view="normal" topLeftCell="D1" colorId="22" zoomScale="100" zoomScaleNormal="100" zoomScalePageLayoutView="100" workbookViewId="0">
      <pane xSplit="0" ySplit="2" topLeftCell="A3" activePane="bottomLeft" state="frozen"/>
      <selection pane="topLeft" activeCell="D1" activeCellId="0" sqref="D1"/>
      <selection pane="bottomLeft" activeCell="D1" activeCellId="0" sqref="D1"/>
    </sheetView>
  </sheetViews>
  <sheetFormatPr defaultColWidth="11.53515625" defaultRowHeight="13.9" zeroHeight="false" outlineLevelRow="0" outlineLevelCol="0"/>
  <cols>
    <col collapsed="false" customWidth="true" hidden="true" outlineLevel="0" max="1" min="1" style="1" width="2.7"/>
    <col collapsed="false" customWidth="true" hidden="true" outlineLevel="0" max="2" min="2" style="1" width="3.11"/>
    <col collapsed="false" customWidth="true" hidden="true" outlineLevel="0" max="3" min="3" style="1" width="2.97"/>
    <col collapsed="false" customWidth="true" hidden="false" outlineLevel="0" max="4" min="4" style="1" width="11.62"/>
    <col collapsed="false" customWidth="true" hidden="false" outlineLevel="0" max="5" min="5" style="1" width="8.65"/>
    <col collapsed="false" customWidth="true" hidden="false" outlineLevel="0" max="6" min="6" style="1" width="18.11"/>
    <col collapsed="false" customWidth="true" hidden="true" outlineLevel="0" max="8" min="7" style="1" width="11.24"/>
    <col collapsed="false" customWidth="true" hidden="true" outlineLevel="0" max="10" min="9" style="1" width="10.98"/>
    <col collapsed="false" customWidth="true" hidden="false" outlineLevel="0" max="11" min="11" style="1" width="10.98"/>
    <col collapsed="false" customWidth="true" hidden="true" outlineLevel="0" max="15" min="12" style="1" width="10.98"/>
    <col collapsed="false" customWidth="true" hidden="false" outlineLevel="0" max="17" min="16" style="1" width="10.98"/>
    <col collapsed="false" customWidth="true" hidden="false" outlineLevel="0" max="18" min="18" style="2" width="5.47"/>
    <col collapsed="false" customWidth="true" hidden="false" outlineLevel="0" max="19" min="19" style="1" width="10.98"/>
    <col collapsed="false" customWidth="true" hidden="false" outlineLevel="0" max="20" min="20" style="2" width="5.47"/>
    <col collapsed="false" customWidth="true" hidden="false" outlineLevel="0" max="21" min="21" style="1" width="10.98"/>
    <col collapsed="false" customWidth="true" hidden="false" outlineLevel="0" max="22" min="22" style="2" width="5.47"/>
    <col collapsed="false" customWidth="true" hidden="false" outlineLevel="0" max="23" min="23" style="1" width="10.98"/>
    <col collapsed="false" customWidth="true" hidden="false" outlineLevel="0" max="24" min="24" style="2" width="5.47"/>
    <col collapsed="false" customWidth="true" hidden="true" outlineLevel="0" max="26" min="25" style="1" width="11.24"/>
    <col collapsed="false" customWidth="true" hidden="false" outlineLevel="0" max="64" min="27" style="1" width="8.65"/>
  </cols>
  <sheetData>
    <row r="1" customFormat="false" ht="13.9" hidden="false" customHeight="true" outlineLevel="0" collapsed="false">
      <c r="A1" s="1" t="s">
        <v>116</v>
      </c>
      <c r="B1" s="1" t="s">
        <v>117</v>
      </c>
      <c r="C1" s="1" t="s">
        <v>118</v>
      </c>
      <c r="D1" s="3" t="s">
        <v>119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5"/>
      <c r="U1" s="4"/>
      <c r="V1" s="5"/>
      <c r="W1" s="4"/>
      <c r="X1" s="5"/>
      <c r="Y1" s="4"/>
      <c r="Z1" s="4"/>
    </row>
    <row r="2" customFormat="false" ht="13.9" hidden="false" customHeight="true" outlineLevel="0" collapsed="false">
      <c r="D2" s="6"/>
      <c r="E2" s="6"/>
      <c r="F2" s="6"/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7" t="s">
        <v>13</v>
      </c>
      <c r="T2" s="8" t="s">
        <v>14</v>
      </c>
      <c r="U2" s="7" t="s">
        <v>15</v>
      </c>
      <c r="V2" s="8" t="s">
        <v>16</v>
      </c>
      <c r="W2" s="7" t="s">
        <v>17</v>
      </c>
      <c r="X2" s="8" t="s">
        <v>18</v>
      </c>
      <c r="Y2" s="7" t="s">
        <v>19</v>
      </c>
      <c r="Z2" s="7" t="s">
        <v>20</v>
      </c>
    </row>
    <row r="3" customFormat="false" ht="13.9" hidden="false" customHeight="true" outlineLevel="0" collapsed="false">
      <c r="D3" s="72" t="s">
        <v>21</v>
      </c>
      <c r="E3" s="10" t="n">
        <v>111</v>
      </c>
      <c r="F3" s="10" t="s">
        <v>22</v>
      </c>
      <c r="G3" s="11" t="n">
        <f aca="false">G24+G154+G208+G247+G337+G434</f>
        <v>612456.1</v>
      </c>
      <c r="H3" s="11" t="n">
        <f aca="false">H24+H154+H208+H247+H337+H434</f>
        <v>692070.66</v>
      </c>
      <c r="I3" s="11" t="n">
        <f aca="false">I24+I154+I208+I247+I337+I434</f>
        <v>693124</v>
      </c>
      <c r="J3" s="11" t="n">
        <f aca="false">J24+J154+J208+J247+J337+J434</f>
        <v>672983.01</v>
      </c>
      <c r="K3" s="11" t="n">
        <f aca="false">K24+K154+K208+K247+K337+K434</f>
        <v>629607</v>
      </c>
      <c r="L3" s="11" t="n">
        <f aca="false">L24+L154+L208+L247+L337+L434</f>
        <v>66967</v>
      </c>
      <c r="M3" s="11" t="n">
        <f aca="false">M24+M154+M208+M247+M337+M434</f>
        <v>31556</v>
      </c>
      <c r="N3" s="11" t="n">
        <f aca="false">N24+N154+N208+N247+N337+N434</f>
        <v>52585</v>
      </c>
      <c r="O3" s="11" t="n">
        <f aca="false">O24+O154+O208+O247+O337+O434</f>
        <v>44577</v>
      </c>
      <c r="P3" s="11" t="n">
        <f aca="false">P24+P154+P208+P247+P337+P434</f>
        <v>825292</v>
      </c>
      <c r="Q3" s="11" t="n">
        <f aca="false">Q24+Q154+Q208+Q247+Q337+Q434</f>
        <v>165743.16</v>
      </c>
      <c r="R3" s="12" t="n">
        <f aca="false">Q3/$P3</f>
        <v>0.200829718451166</v>
      </c>
      <c r="S3" s="11" t="n">
        <f aca="false">S24+S154+S208+S247+S337+S434</f>
        <v>336697.76</v>
      </c>
      <c r="T3" s="12" t="n">
        <f aca="false">S3/$P3</f>
        <v>0.407974098864402</v>
      </c>
      <c r="U3" s="11" t="n">
        <f aca="false">U24+U154+U208+U247+U337+U434</f>
        <v>529093.72</v>
      </c>
      <c r="V3" s="12" t="n">
        <f aca="false">U3/$P3</f>
        <v>0.64109881108747</v>
      </c>
      <c r="W3" s="11" t="n">
        <f aca="false">W24+W154+W208+W247+W337+W434</f>
        <v>791685.48</v>
      </c>
      <c r="X3" s="12" t="n">
        <f aca="false">W3/$P3</f>
        <v>0.959279236924628</v>
      </c>
      <c r="Y3" s="11" t="n">
        <f aca="false">Y24+Y154+Y208+Y247+Y337+Y434</f>
        <v>628090</v>
      </c>
      <c r="Z3" s="11" t="n">
        <f aca="false">Z24+Z154+Z208+Z247+Z337+Z434</f>
        <v>634169</v>
      </c>
    </row>
    <row r="4" customFormat="false" ht="13.9" hidden="false" customHeight="true" outlineLevel="0" collapsed="false">
      <c r="D4" s="72"/>
      <c r="E4" s="10" t="n">
        <v>41</v>
      </c>
      <c r="F4" s="10" t="s">
        <v>23</v>
      </c>
      <c r="G4" s="11" t="n">
        <f aca="false">G25+G155+G183+G209+G248+G338+G435+G604</f>
        <v>856712.92</v>
      </c>
      <c r="H4" s="11" t="n">
        <f aca="false">H25+H155+H183+H209+H248+H338+H435+H604</f>
        <v>786886.63</v>
      </c>
      <c r="I4" s="11" t="n">
        <f aca="false">I25+I155+I183+I209+I248+I338+I435+I604</f>
        <v>940849</v>
      </c>
      <c r="J4" s="11" t="n">
        <f aca="false">J25+J155+J183+J209+J248+J338+J435+J604</f>
        <v>863964.34</v>
      </c>
      <c r="K4" s="11" t="n">
        <f aca="false">K25+K155+K183+K209+K248+K338+K435+K604</f>
        <v>887875</v>
      </c>
      <c r="L4" s="11" t="n">
        <f aca="false">L25+L155+L183+L209+L248+L338+L435+L604</f>
        <v>12610</v>
      </c>
      <c r="M4" s="11" t="n">
        <f aca="false">M25+M155+M183+M209+M248+M338+M435+M604</f>
        <v>25078</v>
      </c>
      <c r="N4" s="11" t="n">
        <f aca="false">N25+N155+N183+N209+N248+N338+N435+N604</f>
        <v>20771</v>
      </c>
      <c r="O4" s="11" t="n">
        <f aca="false">O25+O155+O183+O209+O248+O338+O435+O604</f>
        <v>21624</v>
      </c>
      <c r="P4" s="11" t="n">
        <f aca="false">P25+P155+P183+P209+P248+P338+P435+P604</f>
        <v>967958</v>
      </c>
      <c r="Q4" s="11" t="n">
        <f aca="false">Q25+Q155+Q183+Q209+Q248+Q338+Q435+Q604</f>
        <v>206936.87</v>
      </c>
      <c r="R4" s="12" t="n">
        <f aca="false">Q4/$P4</f>
        <v>0.213787034148176</v>
      </c>
      <c r="S4" s="11" t="n">
        <f aca="false">S25+S155+S183+S209+S248+S338+S435+S604</f>
        <v>399312.92</v>
      </c>
      <c r="T4" s="12" t="n">
        <f aca="false">S4/$P4</f>
        <v>0.412531246190434</v>
      </c>
      <c r="U4" s="11" t="n">
        <f aca="false">U25+U155+U183+U209+U248+U338+U435+U604</f>
        <v>635199.51</v>
      </c>
      <c r="V4" s="12" t="n">
        <f aca="false">U4/$P4</f>
        <v>0.656226313538397</v>
      </c>
      <c r="W4" s="11" t="n">
        <f aca="false">W25+W155+W183+W209+W248+W338+W435+W604</f>
        <v>905801.05</v>
      </c>
      <c r="X4" s="12" t="n">
        <f aca="false">W4/$P4</f>
        <v>0.935785488626573</v>
      </c>
      <c r="Y4" s="11" t="n">
        <f aca="false">Y25+Y155+Y183+Y209+Y248+Y338+Y435+Y604</f>
        <v>890522</v>
      </c>
      <c r="Z4" s="11" t="n">
        <f aca="false">Z25+Z155+Z183+Z209+Z248+Z338+Z435+Z604</f>
        <v>898161</v>
      </c>
    </row>
    <row r="5" customFormat="false" ht="13.9" hidden="false" customHeight="true" outlineLevel="0" collapsed="false">
      <c r="D5" s="72"/>
      <c r="E5" s="10" t="n">
        <v>71</v>
      </c>
      <c r="F5" s="10" t="s">
        <v>24</v>
      </c>
      <c r="G5" s="11" t="n">
        <f aca="false">G249</f>
        <v>1400</v>
      </c>
      <c r="H5" s="11" t="n">
        <f aca="false">H249</f>
        <v>1400</v>
      </c>
      <c r="I5" s="11" t="n">
        <f aca="false">I249</f>
        <v>3000</v>
      </c>
      <c r="J5" s="11" t="n">
        <f aca="false">J249</f>
        <v>3000</v>
      </c>
      <c r="K5" s="11" t="n">
        <f aca="false">K249</f>
        <v>3000</v>
      </c>
      <c r="L5" s="11" t="n">
        <f aca="false">L249</f>
        <v>0</v>
      </c>
      <c r="M5" s="11" t="n">
        <f aca="false">M249</f>
        <v>0</v>
      </c>
      <c r="N5" s="11" t="n">
        <f aca="false">N249</f>
        <v>0</v>
      </c>
      <c r="O5" s="11" t="n">
        <f aca="false">O249</f>
        <v>0</v>
      </c>
      <c r="P5" s="11" t="n">
        <f aca="false">P249</f>
        <v>3000</v>
      </c>
      <c r="Q5" s="11" t="n">
        <f aca="false">Q249</f>
        <v>0</v>
      </c>
      <c r="R5" s="12" t="n">
        <f aca="false">Q5/$P5</f>
        <v>0</v>
      </c>
      <c r="S5" s="11" t="n">
        <f aca="false">S249</f>
        <v>199.38</v>
      </c>
      <c r="T5" s="12" t="n">
        <f aca="false">S5/$P5</f>
        <v>0.06646</v>
      </c>
      <c r="U5" s="11" t="n">
        <f aca="false">U249</f>
        <v>3000</v>
      </c>
      <c r="V5" s="12" t="n">
        <f aca="false">U5/$P5</f>
        <v>1</v>
      </c>
      <c r="W5" s="11" t="n">
        <f aca="false">W249</f>
        <v>3000</v>
      </c>
      <c r="X5" s="12" t="n">
        <f aca="false">W5/$P5</f>
        <v>1</v>
      </c>
      <c r="Y5" s="11" t="n">
        <f aca="false">Y249</f>
        <v>3000</v>
      </c>
      <c r="Z5" s="11" t="n">
        <f aca="false">Z249</f>
        <v>3000</v>
      </c>
    </row>
    <row r="6" customFormat="false" ht="13.9" hidden="false" customHeight="true" outlineLevel="0" collapsed="false">
      <c r="D6" s="72"/>
      <c r="E6" s="10" t="n">
        <v>72</v>
      </c>
      <c r="F6" s="10" t="s">
        <v>25</v>
      </c>
      <c r="G6" s="11" t="n">
        <f aca="false">G26+G156+G184+G210+G250+G436</f>
        <v>48677.34</v>
      </c>
      <c r="H6" s="11" t="n">
        <f aca="false">H26+H156+H184+H210+H250+H436</f>
        <v>43817.55</v>
      </c>
      <c r="I6" s="11" t="n">
        <f aca="false">I26+I156+I184+I210+I250+I436</f>
        <v>51356</v>
      </c>
      <c r="J6" s="11" t="n">
        <f aca="false">J26+J156+J184+J210+J250+J436</f>
        <v>50278.03</v>
      </c>
      <c r="K6" s="11" t="n">
        <f aca="false">K26+K156+K184+K210+K250+K436</f>
        <v>105360</v>
      </c>
      <c r="L6" s="11" t="n">
        <f aca="false">L26+L156+L184+L210+L250+L436</f>
        <v>0</v>
      </c>
      <c r="M6" s="11" t="n">
        <f aca="false">M26+M156+M184+M210+M250+M436</f>
        <v>10702</v>
      </c>
      <c r="N6" s="11" t="n">
        <f aca="false">N26+N156+N184+N210+N250+N436</f>
        <v>1100</v>
      </c>
      <c r="O6" s="11" t="n">
        <f aca="false">O26+O156+O184+O210+O250+O436</f>
        <v>3483</v>
      </c>
      <c r="P6" s="11" t="n">
        <f aca="false">P26+P156+P184+P210+P250+P436</f>
        <v>120645</v>
      </c>
      <c r="Q6" s="11" t="n">
        <f aca="false">Q26+Q156+Q184+Q210+Q250+Q436</f>
        <v>12623.75</v>
      </c>
      <c r="R6" s="12" t="n">
        <f aca="false">Q6/$P6</f>
        <v>0.1046355008496</v>
      </c>
      <c r="S6" s="11" t="n">
        <f aca="false">S26+S156+S184+S210+S250+S436</f>
        <v>26514.73</v>
      </c>
      <c r="T6" s="12" t="n">
        <f aca="false">S6/$P6</f>
        <v>0.219774793816569</v>
      </c>
      <c r="U6" s="11" t="n">
        <f aca="false">U26+U156+U184+U210+U250+U436</f>
        <v>45607.74</v>
      </c>
      <c r="V6" s="12" t="n">
        <f aca="false">U6/$P6</f>
        <v>0.37803257490986</v>
      </c>
      <c r="W6" s="11" t="n">
        <f aca="false">W26+W156+W184+W210+W250+W436</f>
        <v>74248.11</v>
      </c>
      <c r="X6" s="12" t="n">
        <f aca="false">W6/$P6</f>
        <v>0.615426333457665</v>
      </c>
      <c r="Y6" s="11" t="n">
        <f aca="false">Y26+Y156+Y184+Y210+Y250+Y436</f>
        <v>105360</v>
      </c>
      <c r="Z6" s="11" t="n">
        <f aca="false">Z26+Z156+Z184+Z210+Z250+Z436</f>
        <v>105360</v>
      </c>
    </row>
    <row r="7" customFormat="false" ht="13.9" hidden="false" customHeight="true" outlineLevel="0" collapsed="false">
      <c r="D7" s="72"/>
      <c r="E7" s="10"/>
      <c r="F7" s="13" t="s">
        <v>120</v>
      </c>
      <c r="G7" s="14" t="n">
        <f aca="false">SUM(G3:G6)</f>
        <v>1519246.36</v>
      </c>
      <c r="H7" s="14" t="n">
        <f aca="false">SUM(H3:H6)</f>
        <v>1524174.84</v>
      </c>
      <c r="I7" s="14" t="n">
        <f aca="false">SUM(I3:I6)</f>
        <v>1688329</v>
      </c>
      <c r="J7" s="14" t="n">
        <f aca="false">SUM(J3:J6)</f>
        <v>1590225.38</v>
      </c>
      <c r="K7" s="14" t="n">
        <f aca="false">SUM(K3:K6)</f>
        <v>1625842</v>
      </c>
      <c r="L7" s="14" t="n">
        <f aca="false">SUM(L3:L6)</f>
        <v>79577</v>
      </c>
      <c r="M7" s="14" t="n">
        <f aca="false">SUM(M3:M6)</f>
        <v>67336</v>
      </c>
      <c r="N7" s="14" t="n">
        <f aca="false">SUM(N3:N6)</f>
        <v>74456</v>
      </c>
      <c r="O7" s="14" t="n">
        <f aca="false">SUM(O3:O6)</f>
        <v>69684</v>
      </c>
      <c r="P7" s="14" t="n">
        <f aca="false">SUM(P3:P6)</f>
        <v>1916895</v>
      </c>
      <c r="Q7" s="14" t="n">
        <f aca="false">SUM(Q3:Q6)</f>
        <v>385303.78</v>
      </c>
      <c r="R7" s="15" t="n">
        <f aca="false">Q7/$P7</f>
        <v>0.20100411342301</v>
      </c>
      <c r="S7" s="14" t="n">
        <f aca="false">SUM(S3:S6)</f>
        <v>762724.79</v>
      </c>
      <c r="T7" s="15" t="n">
        <f aca="false">S7/$P7</f>
        <v>0.397895967176084</v>
      </c>
      <c r="U7" s="14" t="n">
        <f aca="false">SUM(U3:U6)</f>
        <v>1212900.97</v>
      </c>
      <c r="V7" s="15" t="n">
        <f aca="false">U7/$P7</f>
        <v>0.63274251849997</v>
      </c>
      <c r="W7" s="14" t="n">
        <f aca="false">SUM(W3:W6)</f>
        <v>1774734.64</v>
      </c>
      <c r="X7" s="15" t="n">
        <f aca="false">W7/$P7</f>
        <v>0.925838212317315</v>
      </c>
      <c r="Y7" s="14" t="n">
        <f aca="false">SUM(Y3:Y6)</f>
        <v>1626972</v>
      </c>
      <c r="Z7" s="14" t="n">
        <f aca="false">SUM(Z3:Z6)</f>
        <v>1640690</v>
      </c>
    </row>
    <row r="8" customFormat="false" ht="13.9" hidden="false" customHeight="true" outlineLevel="0" collapsed="false">
      <c r="D8" s="72"/>
      <c r="E8" s="10" t="n">
        <v>111</v>
      </c>
      <c r="F8" s="10" t="s">
        <v>22</v>
      </c>
      <c r="G8" s="11" t="n">
        <f aca="false">G492</f>
        <v>999117.22</v>
      </c>
      <c r="H8" s="11" t="n">
        <f aca="false">H492</f>
        <v>0</v>
      </c>
      <c r="I8" s="11" t="n">
        <f aca="false">I492</f>
        <v>500000</v>
      </c>
      <c r="J8" s="11" t="n">
        <f aca="false">J492</f>
        <v>89115.6</v>
      </c>
      <c r="K8" s="11" t="n">
        <f aca="false">K492</f>
        <v>366765</v>
      </c>
      <c r="L8" s="11" t="n">
        <f aca="false">L492</f>
        <v>0</v>
      </c>
      <c r="M8" s="11" t="n">
        <f aca="false">M492</f>
        <v>0</v>
      </c>
      <c r="N8" s="11" t="n">
        <f aca="false">N492</f>
        <v>0</v>
      </c>
      <c r="O8" s="11" t="n">
        <f aca="false">O492</f>
        <v>-9490</v>
      </c>
      <c r="P8" s="11" t="n">
        <f aca="false">P492</f>
        <v>190577</v>
      </c>
      <c r="Q8" s="11" t="n">
        <f aca="false">Q492</f>
        <v>10884.4</v>
      </c>
      <c r="R8" s="12" t="n">
        <f aca="false">Q8/$P8</f>
        <v>0.0571128730119584</v>
      </c>
      <c r="S8" s="11" t="n">
        <f aca="false">S492</f>
        <v>122504.22</v>
      </c>
      <c r="T8" s="12" t="n">
        <f aca="false">S8/$P8</f>
        <v>0.642806949422018</v>
      </c>
      <c r="U8" s="11" t="n">
        <f aca="false">U492</f>
        <v>177787.28</v>
      </c>
      <c r="V8" s="12" t="n">
        <f aca="false">U8/$P8</f>
        <v>0.93288948823835</v>
      </c>
      <c r="W8" s="11" t="n">
        <f aca="false">W492</f>
        <v>190577.56</v>
      </c>
      <c r="X8" s="12" t="n">
        <f aca="false">W8/$P8</f>
        <v>1.00000293844483</v>
      </c>
      <c r="Y8" s="11" t="n">
        <f aca="false">Y492</f>
        <v>0</v>
      </c>
      <c r="Z8" s="11" t="n">
        <f aca="false">Z492</f>
        <v>0</v>
      </c>
    </row>
    <row r="9" customFormat="false" ht="13.9" hidden="false" customHeight="true" outlineLevel="0" collapsed="false">
      <c r="D9" s="72"/>
      <c r="E9" s="10" t="n">
        <v>41</v>
      </c>
      <c r="F9" s="10" t="s">
        <v>23</v>
      </c>
      <c r="G9" s="11" t="n">
        <f aca="false">G493</f>
        <v>237113.46</v>
      </c>
      <c r="H9" s="11" t="n">
        <f aca="false">H493</f>
        <v>137834.32</v>
      </c>
      <c r="I9" s="11" t="n">
        <f aca="false">I493</f>
        <v>1129978</v>
      </c>
      <c r="J9" s="11" t="n">
        <f aca="false">J493</f>
        <v>908945.93</v>
      </c>
      <c r="K9" s="11" t="n">
        <f aca="false">K493</f>
        <v>932682</v>
      </c>
      <c r="L9" s="11" t="n">
        <f aca="false">L493</f>
        <v>-1085</v>
      </c>
      <c r="M9" s="11" t="n">
        <f aca="false">M493</f>
        <v>-46621</v>
      </c>
      <c r="N9" s="11" t="n">
        <f aca="false">N493</f>
        <v>-20771</v>
      </c>
      <c r="O9" s="11" t="n">
        <f aca="false">O493</f>
        <v>-21379</v>
      </c>
      <c r="P9" s="11" t="n">
        <f aca="false">P493</f>
        <v>1009524</v>
      </c>
      <c r="Q9" s="11" t="n">
        <f aca="false">Q493</f>
        <v>80528.96</v>
      </c>
      <c r="R9" s="12" t="n">
        <f aca="false">Q9/$P9</f>
        <v>0.0797692377793891</v>
      </c>
      <c r="S9" s="11" t="n">
        <f aca="false">S493</f>
        <v>310144.5</v>
      </c>
      <c r="T9" s="12" t="n">
        <f aca="false">S9/$P9</f>
        <v>0.307218550524802</v>
      </c>
      <c r="U9" s="11" t="n">
        <f aca="false">U493</f>
        <v>658721.98</v>
      </c>
      <c r="V9" s="12" t="n">
        <f aca="false">U9/$P9</f>
        <v>0.652507498583491</v>
      </c>
      <c r="W9" s="11" t="n">
        <f aca="false">W493</f>
        <v>776952.59</v>
      </c>
      <c r="X9" s="12" t="n">
        <f aca="false">W9/$P9</f>
        <v>0.769622703373075</v>
      </c>
      <c r="Y9" s="11" t="n">
        <f aca="false">Y493</f>
        <v>600593</v>
      </c>
      <c r="Z9" s="11" t="n">
        <f aca="false">Z493</f>
        <v>683907</v>
      </c>
    </row>
    <row r="10" customFormat="false" ht="13.9" hidden="true" customHeight="true" outlineLevel="0" collapsed="false">
      <c r="D10" s="72"/>
      <c r="E10" s="10" t="n">
        <v>52</v>
      </c>
      <c r="F10" s="10" t="s">
        <v>28</v>
      </c>
      <c r="G10" s="11" t="n">
        <f aca="false">G494</f>
        <v>0</v>
      </c>
      <c r="H10" s="11" t="n">
        <f aca="false">H494</f>
        <v>0</v>
      </c>
      <c r="I10" s="11" t="n">
        <f aca="false">I494</f>
        <v>0</v>
      </c>
      <c r="J10" s="11" t="n">
        <f aca="false">J494</f>
        <v>0</v>
      </c>
      <c r="K10" s="11" t="n">
        <f aca="false">K494</f>
        <v>0</v>
      </c>
      <c r="L10" s="11" t="n">
        <f aca="false">L494</f>
        <v>0</v>
      </c>
      <c r="M10" s="11" t="n">
        <f aca="false">M494</f>
        <v>0</v>
      </c>
      <c r="N10" s="11" t="n">
        <f aca="false">N494</f>
        <v>0</v>
      </c>
      <c r="O10" s="11" t="n">
        <f aca="false">O494</f>
        <v>0</v>
      </c>
      <c r="P10" s="11" t="n">
        <f aca="false">P494</f>
        <v>0</v>
      </c>
      <c r="Q10" s="11" t="n">
        <f aca="false">Q494</f>
        <v>0</v>
      </c>
      <c r="R10" s="12" t="e">
        <f aca="false">Q10/$P10</f>
        <v>#DIV/0!</v>
      </c>
      <c r="S10" s="11" t="n">
        <f aca="false">S494</f>
        <v>0</v>
      </c>
      <c r="T10" s="12" t="e">
        <f aca="false">S10/$P10</f>
        <v>#DIV/0!</v>
      </c>
      <c r="U10" s="11" t="n">
        <f aca="false">U494</f>
        <v>0</v>
      </c>
      <c r="V10" s="12" t="e">
        <f aca="false">U10/$P10</f>
        <v>#DIV/0!</v>
      </c>
      <c r="W10" s="11" t="n">
        <f aca="false">W494</f>
        <v>0</v>
      </c>
      <c r="X10" s="12" t="e">
        <f aca="false">W10/$P10</f>
        <v>#DIV/0!</v>
      </c>
      <c r="Y10" s="11" t="n">
        <f aca="false">Y494</f>
        <v>0</v>
      </c>
      <c r="Z10" s="11" t="n">
        <f aca="false">Z494</f>
        <v>0</v>
      </c>
    </row>
    <row r="11" customFormat="false" ht="13.9" hidden="false" customHeight="true" outlineLevel="0" collapsed="false">
      <c r="D11" s="72"/>
      <c r="E11" s="10"/>
      <c r="F11" s="13" t="s">
        <v>121</v>
      </c>
      <c r="G11" s="14" t="n">
        <f aca="false">SUM(G8:G10)</f>
        <v>1236230.68</v>
      </c>
      <c r="H11" s="14" t="n">
        <f aca="false">SUM(H8:H10)</f>
        <v>137834.32</v>
      </c>
      <c r="I11" s="14" t="n">
        <f aca="false">SUM(I8:I10)</f>
        <v>1629978</v>
      </c>
      <c r="J11" s="14" t="n">
        <f aca="false">SUM(J8:J10)</f>
        <v>998061.53</v>
      </c>
      <c r="K11" s="14" t="n">
        <f aca="false">SUM(K8:K10)</f>
        <v>1299447</v>
      </c>
      <c r="L11" s="14" t="n">
        <f aca="false">SUM(L8:L10)</f>
        <v>-1085</v>
      </c>
      <c r="M11" s="14" t="n">
        <f aca="false">SUM(M8:M10)</f>
        <v>-46621</v>
      </c>
      <c r="N11" s="14" t="n">
        <f aca="false">SUM(N8:N10)</f>
        <v>-20771</v>
      </c>
      <c r="O11" s="14" t="n">
        <f aca="false">SUM(O8:O10)</f>
        <v>-30869</v>
      </c>
      <c r="P11" s="14" t="n">
        <f aca="false">SUM(P8:P10)</f>
        <v>1200101</v>
      </c>
      <c r="Q11" s="14" t="n">
        <f aca="false">SUM(Q8:Q10)</f>
        <v>91413.36</v>
      </c>
      <c r="R11" s="15" t="n">
        <f aca="false">Q11/$P11</f>
        <v>0.0761713889081002</v>
      </c>
      <c r="S11" s="14" t="n">
        <f aca="false">SUM(S8:S10)</f>
        <v>432648.72</v>
      </c>
      <c r="T11" s="15" t="n">
        <f aca="false">S11/$P11</f>
        <v>0.360510257053365</v>
      </c>
      <c r="U11" s="14" t="n">
        <f aca="false">SUM(U8:U10)</f>
        <v>836509.26</v>
      </c>
      <c r="V11" s="15" t="n">
        <f aca="false">U11/$P11</f>
        <v>0.697032383107755</v>
      </c>
      <c r="W11" s="14" t="n">
        <f aca="false">SUM(W8:W10)</f>
        <v>967530.15</v>
      </c>
      <c r="X11" s="15" t="n">
        <f aca="false">W11/$P11</f>
        <v>0.806207269221507</v>
      </c>
      <c r="Y11" s="14" t="n">
        <f aca="false">SUM(Y8:Y10)</f>
        <v>600593</v>
      </c>
      <c r="Z11" s="14" t="n">
        <f aca="false">SUM(Z8:Z10)</f>
        <v>683907</v>
      </c>
    </row>
    <row r="12" customFormat="false" ht="13.9" hidden="true" customHeight="true" outlineLevel="0" collapsed="false">
      <c r="D12" s="72"/>
      <c r="E12" s="10" t="n">
        <v>41</v>
      </c>
      <c r="F12" s="10" t="s">
        <v>23</v>
      </c>
      <c r="G12" s="11" t="n">
        <f aca="false">G605</f>
        <v>0</v>
      </c>
      <c r="H12" s="11" t="n">
        <f aca="false">H605</f>
        <v>0</v>
      </c>
      <c r="I12" s="11" t="n">
        <f aca="false">I605</f>
        <v>0</v>
      </c>
      <c r="J12" s="11" t="n">
        <f aca="false">J605</f>
        <v>0</v>
      </c>
      <c r="K12" s="11" t="n">
        <f aca="false">K605</f>
        <v>0</v>
      </c>
      <c r="L12" s="11" t="n">
        <f aca="false">L605</f>
        <v>0</v>
      </c>
      <c r="M12" s="11" t="n">
        <f aca="false">M605</f>
        <v>0</v>
      </c>
      <c r="N12" s="11" t="n">
        <f aca="false">N605</f>
        <v>0</v>
      </c>
      <c r="O12" s="11" t="n">
        <f aca="false">O605</f>
        <v>0</v>
      </c>
      <c r="P12" s="11" t="n">
        <f aca="false">P605</f>
        <v>0</v>
      </c>
      <c r="Q12" s="11" t="n">
        <f aca="false">Q605</f>
        <v>0</v>
      </c>
      <c r="R12" s="12" t="e">
        <f aca="false">Q12/$P12</f>
        <v>#DIV/0!</v>
      </c>
      <c r="S12" s="11" t="n">
        <f aca="false">S605</f>
        <v>0</v>
      </c>
      <c r="T12" s="12" t="e">
        <f aca="false">S12/$P12</f>
        <v>#DIV/0!</v>
      </c>
      <c r="U12" s="11" t="n">
        <f aca="false">U605</f>
        <v>0</v>
      </c>
      <c r="V12" s="12" t="e">
        <f aca="false">U12/$P12</f>
        <v>#DIV/0!</v>
      </c>
      <c r="W12" s="11" t="n">
        <f aca="false">W605</f>
        <v>0</v>
      </c>
      <c r="X12" s="12" t="e">
        <f aca="false">W12/$P12</f>
        <v>#DIV/0!</v>
      </c>
      <c r="Y12" s="11" t="n">
        <f aca="false">Y605</f>
        <v>0</v>
      </c>
      <c r="Z12" s="11" t="n">
        <f aca="false">Z605</f>
        <v>0</v>
      </c>
    </row>
    <row r="13" customFormat="false" ht="13.9" hidden="false" customHeight="true" outlineLevel="0" collapsed="false">
      <c r="D13" s="72"/>
      <c r="E13" s="10" t="n">
        <v>71</v>
      </c>
      <c r="F13" s="10" t="s">
        <v>24</v>
      </c>
      <c r="G13" s="11" t="n">
        <f aca="false">G599</f>
        <v>1617.83</v>
      </c>
      <c r="H13" s="11" t="n">
        <f aca="false">H599</f>
        <v>0</v>
      </c>
      <c r="I13" s="11" t="n">
        <f aca="false">I599</f>
        <v>0</v>
      </c>
      <c r="J13" s="11" t="n">
        <f aca="false">J599</f>
        <v>0</v>
      </c>
      <c r="K13" s="11" t="n">
        <f aca="false">K599</f>
        <v>0</v>
      </c>
      <c r="L13" s="11" t="n">
        <f aca="false">L599</f>
        <v>0</v>
      </c>
      <c r="M13" s="11" t="n">
        <f aca="false">M599</f>
        <v>1000</v>
      </c>
      <c r="N13" s="11" t="n">
        <f aca="false">N599</f>
        <v>0</v>
      </c>
      <c r="O13" s="11" t="n">
        <f aca="false">O599</f>
        <v>0</v>
      </c>
      <c r="P13" s="11" t="n">
        <f aca="false">P599</f>
        <v>1000</v>
      </c>
      <c r="Q13" s="11" t="n">
        <f aca="false">Q599</f>
        <v>0</v>
      </c>
      <c r="R13" s="12" t="n">
        <f aca="false">Q13/$P13</f>
        <v>0</v>
      </c>
      <c r="S13" s="11" t="n">
        <f aca="false">S599</f>
        <v>0</v>
      </c>
      <c r="T13" s="12" t="n">
        <f aca="false">S13/$P13</f>
        <v>0</v>
      </c>
      <c r="U13" s="11" t="n">
        <f aca="false">U599</f>
        <v>300</v>
      </c>
      <c r="V13" s="12" t="n">
        <f aca="false">U13/$P13</f>
        <v>0.3</v>
      </c>
      <c r="W13" s="11" t="n">
        <f aca="false">W599</f>
        <v>300</v>
      </c>
      <c r="X13" s="12" t="n">
        <f aca="false">W13/$P13</f>
        <v>0.3</v>
      </c>
      <c r="Y13" s="11" t="n">
        <f aca="false">Y599</f>
        <v>3000</v>
      </c>
      <c r="Z13" s="11" t="n">
        <f aca="false">Z599</f>
        <v>0</v>
      </c>
    </row>
    <row r="14" customFormat="false" ht="13.9" hidden="false" customHeight="true" outlineLevel="0" collapsed="false">
      <c r="D14" s="72"/>
      <c r="E14" s="10"/>
      <c r="F14" s="13" t="s">
        <v>29</v>
      </c>
      <c r="G14" s="14" t="n">
        <f aca="false">SUM(G12:G13)</f>
        <v>1617.83</v>
      </c>
      <c r="H14" s="14" t="n">
        <f aca="false">SUM(H12:H13)</f>
        <v>0</v>
      </c>
      <c r="I14" s="14" t="n">
        <f aca="false">SUM(I12:I13)</f>
        <v>0</v>
      </c>
      <c r="J14" s="14" t="n">
        <f aca="false">SUM(J12:J13)</f>
        <v>0</v>
      </c>
      <c r="K14" s="14" t="n">
        <f aca="false">SUM(K12:K13)</f>
        <v>0</v>
      </c>
      <c r="L14" s="14" t="n">
        <f aca="false">SUM(L12:L13)</f>
        <v>0</v>
      </c>
      <c r="M14" s="14" t="n">
        <f aca="false">SUM(M12:M13)</f>
        <v>1000</v>
      </c>
      <c r="N14" s="14" t="n">
        <f aca="false">SUM(N12:N13)</f>
        <v>0</v>
      </c>
      <c r="O14" s="14" t="n">
        <f aca="false">SUM(O12:O13)</f>
        <v>0</v>
      </c>
      <c r="P14" s="14" t="n">
        <f aca="false">SUM(P12:P13)</f>
        <v>1000</v>
      </c>
      <c r="Q14" s="14" t="n">
        <f aca="false">SUM(Q12:Q13)</f>
        <v>0</v>
      </c>
      <c r="R14" s="15" t="n">
        <f aca="false">Q14/$P14</f>
        <v>0</v>
      </c>
      <c r="S14" s="14" t="n">
        <f aca="false">SUM(S12:S13)</f>
        <v>0</v>
      </c>
      <c r="T14" s="15" t="n">
        <f aca="false">S14/$P14</f>
        <v>0</v>
      </c>
      <c r="U14" s="14" t="n">
        <f aca="false">SUM(U12:U13)</f>
        <v>300</v>
      </c>
      <c r="V14" s="15" t="n">
        <f aca="false">U14/$P14</f>
        <v>0.3</v>
      </c>
      <c r="W14" s="14" t="n">
        <f aca="false">SUM(W12:W13)</f>
        <v>300</v>
      </c>
      <c r="X14" s="15" t="n">
        <f aca="false">W14/$P14</f>
        <v>0.3</v>
      </c>
      <c r="Y14" s="14" t="n">
        <f aca="false">SUM(Y12:Y13)</f>
        <v>3000</v>
      </c>
      <c r="Z14" s="14" t="n">
        <f aca="false">SUM(Z12:Z13)</f>
        <v>0</v>
      </c>
    </row>
    <row r="15" customFormat="false" ht="13.9" hidden="false" customHeight="true" outlineLevel="0" collapsed="false">
      <c r="D15" s="72"/>
      <c r="E15" s="10" t="n">
        <v>111</v>
      </c>
      <c r="F15" s="10" t="s">
        <v>22</v>
      </c>
      <c r="G15" s="11" t="n">
        <f aca="false">G3+G8</f>
        <v>1611573.32</v>
      </c>
      <c r="H15" s="11" t="n">
        <f aca="false">H3+H8</f>
        <v>692070.66</v>
      </c>
      <c r="I15" s="11" t="n">
        <f aca="false">I3+I8</f>
        <v>1193124</v>
      </c>
      <c r="J15" s="11" t="n">
        <f aca="false">J3+J8</f>
        <v>762098.61</v>
      </c>
      <c r="K15" s="11" t="n">
        <f aca="false">K3+K8</f>
        <v>996372</v>
      </c>
      <c r="L15" s="11" t="n">
        <f aca="false">L3+L8</f>
        <v>66967</v>
      </c>
      <c r="M15" s="11" t="n">
        <f aca="false">M3+M8</f>
        <v>31556</v>
      </c>
      <c r="N15" s="11" t="n">
        <f aca="false">N3+N8</f>
        <v>52585</v>
      </c>
      <c r="O15" s="11" t="n">
        <f aca="false">O3+O8</f>
        <v>35087</v>
      </c>
      <c r="P15" s="11" t="n">
        <f aca="false">P3+P8</f>
        <v>1015869</v>
      </c>
      <c r="Q15" s="11" t="n">
        <f aca="false">Q3+Q8</f>
        <v>176627.56</v>
      </c>
      <c r="R15" s="12" t="n">
        <f aca="false">Q15/$P15</f>
        <v>0.173868441698684</v>
      </c>
      <c r="S15" s="11" t="n">
        <f aca="false">S3+S8</f>
        <v>459201.98</v>
      </c>
      <c r="T15" s="12" t="n">
        <f aca="false">S15/$P15</f>
        <v>0.452028735988597</v>
      </c>
      <c r="U15" s="11" t="n">
        <f aca="false">U3+U8</f>
        <v>706881</v>
      </c>
      <c r="V15" s="12" t="n">
        <f aca="false">U15/$P15</f>
        <v>0.6958387351125</v>
      </c>
      <c r="W15" s="11" t="n">
        <f aca="false">W3+W8</f>
        <v>982263.04</v>
      </c>
      <c r="X15" s="12" t="n">
        <f aca="false">W15/$P15</f>
        <v>0.966919002351681</v>
      </c>
      <c r="Y15" s="11" t="n">
        <f aca="false">Y3+Y8</f>
        <v>628090</v>
      </c>
      <c r="Z15" s="11" t="n">
        <f aca="false">Z3+Z8</f>
        <v>634169</v>
      </c>
    </row>
    <row r="16" customFormat="false" ht="13.9" hidden="false" customHeight="true" outlineLevel="0" collapsed="false">
      <c r="D16" s="72"/>
      <c r="E16" s="10" t="n">
        <v>41</v>
      </c>
      <c r="F16" s="10" t="s">
        <v>23</v>
      </c>
      <c r="G16" s="11" t="n">
        <f aca="false">G4+G9+G12</f>
        <v>1093826.38</v>
      </c>
      <c r="H16" s="11" t="n">
        <f aca="false">H4+H9+H12</f>
        <v>924720.95</v>
      </c>
      <c r="I16" s="11" t="n">
        <f aca="false">I4+I9+I12</f>
        <v>2070827</v>
      </c>
      <c r="J16" s="11" t="n">
        <f aca="false">J4+J9+J12</f>
        <v>1772910.27</v>
      </c>
      <c r="K16" s="11" t="n">
        <f aca="false">K4+K9+K12</f>
        <v>1820557</v>
      </c>
      <c r="L16" s="11" t="n">
        <f aca="false">L4+L9+L12</f>
        <v>11525</v>
      </c>
      <c r="M16" s="11" t="n">
        <f aca="false">M4+M9+M12</f>
        <v>-21543</v>
      </c>
      <c r="N16" s="11" t="n">
        <f aca="false">N4+N9+N12</f>
        <v>0</v>
      </c>
      <c r="O16" s="11" t="n">
        <f aca="false">O4+O9+O12</f>
        <v>245</v>
      </c>
      <c r="P16" s="11" t="n">
        <f aca="false">P4+P9+P12</f>
        <v>1977482</v>
      </c>
      <c r="Q16" s="11" t="n">
        <f aca="false">Q4+Q9+Q12</f>
        <v>287465.83</v>
      </c>
      <c r="R16" s="12" t="n">
        <f aca="false">Q16/$P16</f>
        <v>0.14536963168312</v>
      </c>
      <c r="S16" s="11" t="n">
        <f aca="false">S4+S9+S12</f>
        <v>709457.42</v>
      </c>
      <c r="T16" s="12" t="n">
        <f aca="false">S16/$P16</f>
        <v>0.358768079810587</v>
      </c>
      <c r="U16" s="11" t="n">
        <f aca="false">U4+U9+U12</f>
        <v>1293921.49</v>
      </c>
      <c r="V16" s="12" t="n">
        <f aca="false">U16/$P16</f>
        <v>0.654327821947305</v>
      </c>
      <c r="W16" s="11" t="n">
        <f aca="false">W4+W9+W12</f>
        <v>1682753.64</v>
      </c>
      <c r="X16" s="12" t="n">
        <f aca="false">W16/$P16</f>
        <v>0.85095775334491</v>
      </c>
      <c r="Y16" s="11" t="n">
        <f aca="false">Y4+Y9+Y12</f>
        <v>1491115</v>
      </c>
      <c r="Z16" s="11" t="n">
        <f aca="false">Z4+Z9+Z12</f>
        <v>1582068</v>
      </c>
    </row>
    <row r="17" customFormat="false" ht="13.9" hidden="true" customHeight="true" outlineLevel="0" collapsed="false">
      <c r="D17" s="72"/>
      <c r="E17" s="10" t="n">
        <v>52</v>
      </c>
      <c r="F17" s="10" t="s">
        <v>28</v>
      </c>
      <c r="G17" s="11" t="n">
        <f aca="false">G10</f>
        <v>0</v>
      </c>
      <c r="H17" s="11" t="n">
        <f aca="false">H10</f>
        <v>0</v>
      </c>
      <c r="I17" s="11" t="n">
        <f aca="false">I10</f>
        <v>0</v>
      </c>
      <c r="J17" s="11" t="n">
        <f aca="false">J10</f>
        <v>0</v>
      </c>
      <c r="K17" s="11" t="n">
        <f aca="false">K10</f>
        <v>0</v>
      </c>
      <c r="L17" s="11" t="n">
        <f aca="false">L10</f>
        <v>0</v>
      </c>
      <c r="M17" s="11" t="n">
        <f aca="false">M10</f>
        <v>0</v>
      </c>
      <c r="N17" s="11" t="n">
        <f aca="false">N10</f>
        <v>0</v>
      </c>
      <c r="O17" s="11" t="n">
        <f aca="false">O10</f>
        <v>0</v>
      </c>
      <c r="P17" s="11" t="n">
        <f aca="false">P10</f>
        <v>0</v>
      </c>
      <c r="Q17" s="11" t="n">
        <f aca="false">Q10</f>
        <v>0</v>
      </c>
      <c r="R17" s="12" t="e">
        <f aca="false">Q17/$P17</f>
        <v>#DIV/0!</v>
      </c>
      <c r="S17" s="11" t="n">
        <f aca="false">S10</f>
        <v>0</v>
      </c>
      <c r="T17" s="12" t="e">
        <f aca="false">S17/$P17</f>
        <v>#DIV/0!</v>
      </c>
      <c r="U17" s="11" t="n">
        <f aca="false">U10</f>
        <v>0</v>
      </c>
      <c r="V17" s="12" t="e">
        <f aca="false">U17/$P17</f>
        <v>#DIV/0!</v>
      </c>
      <c r="W17" s="11" t="n">
        <f aca="false">W10</f>
        <v>0</v>
      </c>
      <c r="X17" s="12" t="e">
        <f aca="false">W17/$P17</f>
        <v>#DIV/0!</v>
      </c>
      <c r="Y17" s="11" t="n">
        <f aca="false">Y10</f>
        <v>0</v>
      </c>
      <c r="Z17" s="11" t="n">
        <f aca="false">Z10</f>
        <v>0</v>
      </c>
    </row>
    <row r="18" customFormat="false" ht="13.9" hidden="false" customHeight="true" outlineLevel="0" collapsed="false">
      <c r="D18" s="72"/>
      <c r="E18" s="10" t="n">
        <v>71</v>
      </c>
      <c r="F18" s="10" t="s">
        <v>24</v>
      </c>
      <c r="G18" s="11" t="n">
        <f aca="false">G5+G13</f>
        <v>3017.83</v>
      </c>
      <c r="H18" s="11" t="n">
        <f aca="false">H5+H13</f>
        <v>1400</v>
      </c>
      <c r="I18" s="11" t="n">
        <f aca="false">I5+I13</f>
        <v>3000</v>
      </c>
      <c r="J18" s="11" t="n">
        <f aca="false">J5+J13</f>
        <v>3000</v>
      </c>
      <c r="K18" s="11" t="n">
        <f aca="false">K5+K13</f>
        <v>3000</v>
      </c>
      <c r="L18" s="11" t="n">
        <f aca="false">L5+L13</f>
        <v>0</v>
      </c>
      <c r="M18" s="11" t="n">
        <f aca="false">M5+M13</f>
        <v>1000</v>
      </c>
      <c r="N18" s="11" t="n">
        <f aca="false">N5+N13</f>
        <v>0</v>
      </c>
      <c r="O18" s="11" t="n">
        <f aca="false">O5+O13</f>
        <v>0</v>
      </c>
      <c r="P18" s="11" t="n">
        <f aca="false">P5+P13</f>
        <v>4000</v>
      </c>
      <c r="Q18" s="11" t="n">
        <f aca="false">Q5+Q13</f>
        <v>0</v>
      </c>
      <c r="R18" s="12" t="n">
        <f aca="false">Q18/$P18</f>
        <v>0</v>
      </c>
      <c r="S18" s="11" t="n">
        <f aca="false">S5+S13</f>
        <v>199.38</v>
      </c>
      <c r="T18" s="12" t="n">
        <f aca="false">S18/$P18</f>
        <v>0.049845</v>
      </c>
      <c r="U18" s="11" t="n">
        <f aca="false">U5+U13</f>
        <v>3300</v>
      </c>
      <c r="V18" s="12" t="n">
        <f aca="false">U18/$P18</f>
        <v>0.825</v>
      </c>
      <c r="W18" s="11" t="n">
        <f aca="false">W5+W13</f>
        <v>3300</v>
      </c>
      <c r="X18" s="12" t="n">
        <f aca="false">W18/$P18</f>
        <v>0.825</v>
      </c>
      <c r="Y18" s="11" t="n">
        <f aca="false">Y5+Y13</f>
        <v>6000</v>
      </c>
      <c r="Z18" s="11" t="n">
        <f aca="false">Z5+Z13</f>
        <v>3000</v>
      </c>
    </row>
    <row r="19" customFormat="false" ht="13.9" hidden="false" customHeight="true" outlineLevel="0" collapsed="false">
      <c r="D19" s="72"/>
      <c r="E19" s="10" t="n">
        <v>72</v>
      </c>
      <c r="F19" s="10" t="s">
        <v>25</v>
      </c>
      <c r="G19" s="11" t="n">
        <f aca="false">G6</f>
        <v>48677.34</v>
      </c>
      <c r="H19" s="11" t="n">
        <f aca="false">H6</f>
        <v>43817.55</v>
      </c>
      <c r="I19" s="11" t="n">
        <f aca="false">I6</f>
        <v>51356</v>
      </c>
      <c r="J19" s="11" t="n">
        <f aca="false">J6</f>
        <v>50278.03</v>
      </c>
      <c r="K19" s="11" t="n">
        <f aca="false">K6</f>
        <v>105360</v>
      </c>
      <c r="L19" s="11" t="n">
        <f aca="false">L6</f>
        <v>0</v>
      </c>
      <c r="M19" s="11" t="n">
        <f aca="false">M6</f>
        <v>10702</v>
      </c>
      <c r="N19" s="11" t="n">
        <f aca="false">N6</f>
        <v>1100</v>
      </c>
      <c r="O19" s="11" t="n">
        <f aca="false">O6</f>
        <v>3483</v>
      </c>
      <c r="P19" s="11" t="n">
        <f aca="false">P6</f>
        <v>120645</v>
      </c>
      <c r="Q19" s="11" t="n">
        <f aca="false">Q6</f>
        <v>12623.75</v>
      </c>
      <c r="R19" s="12" t="n">
        <f aca="false">Q19/$P19</f>
        <v>0.1046355008496</v>
      </c>
      <c r="S19" s="11" t="n">
        <f aca="false">S6</f>
        <v>26514.73</v>
      </c>
      <c r="T19" s="12" t="n">
        <f aca="false">S19/$P19</f>
        <v>0.219774793816569</v>
      </c>
      <c r="U19" s="11" t="n">
        <f aca="false">U6</f>
        <v>45607.74</v>
      </c>
      <c r="V19" s="12" t="n">
        <f aca="false">U19/$P19</f>
        <v>0.37803257490986</v>
      </c>
      <c r="W19" s="11" t="n">
        <f aca="false">W6</f>
        <v>74248.11</v>
      </c>
      <c r="X19" s="12" t="n">
        <f aca="false">W19/$P19</f>
        <v>0.615426333457665</v>
      </c>
      <c r="Y19" s="11" t="n">
        <f aca="false">Y6</f>
        <v>105360</v>
      </c>
      <c r="Z19" s="11" t="n">
        <f aca="false">Z6</f>
        <v>105360</v>
      </c>
    </row>
    <row r="20" customFormat="false" ht="13.9" hidden="false" customHeight="true" outlineLevel="0" collapsed="false">
      <c r="D20" s="17"/>
      <c r="E20" s="18"/>
      <c r="F20" s="13" t="s">
        <v>122</v>
      </c>
      <c r="G20" s="14" t="n">
        <f aca="false">SUM(G15:G19)</f>
        <v>2757094.87</v>
      </c>
      <c r="H20" s="14" t="n">
        <f aca="false">SUM(H15:H19)</f>
        <v>1662009.16</v>
      </c>
      <c r="I20" s="14" t="n">
        <f aca="false">SUM(I15:I19)</f>
        <v>3318307</v>
      </c>
      <c r="J20" s="14" t="n">
        <f aca="false">SUM(J15:J19)</f>
        <v>2588286.91</v>
      </c>
      <c r="K20" s="14" t="n">
        <f aca="false">SUM(K15:K19)</f>
        <v>2925289</v>
      </c>
      <c r="L20" s="14" t="n">
        <f aca="false">SUM(L15:L19)</f>
        <v>78492</v>
      </c>
      <c r="M20" s="14" t="n">
        <f aca="false">SUM(M15:M19)</f>
        <v>21715</v>
      </c>
      <c r="N20" s="14" t="n">
        <f aca="false">SUM(N15:N19)</f>
        <v>53685</v>
      </c>
      <c r="O20" s="14" t="n">
        <f aca="false">SUM(O15:O19)</f>
        <v>38815</v>
      </c>
      <c r="P20" s="14" t="n">
        <f aca="false">SUM(P15:P19)</f>
        <v>3117996</v>
      </c>
      <c r="Q20" s="14" t="n">
        <f aca="false">SUM(Q15:Q19)</f>
        <v>476717.14</v>
      </c>
      <c r="R20" s="15" t="n">
        <f aca="false">Q20/$P20</f>
        <v>0.152892158937985</v>
      </c>
      <c r="S20" s="14" t="n">
        <f aca="false">SUM(S15:S19)</f>
        <v>1195373.51</v>
      </c>
      <c r="T20" s="15" t="n">
        <f aca="false">S20/$P20</f>
        <v>0.383378782397412</v>
      </c>
      <c r="U20" s="14" t="n">
        <f aca="false">SUM(U15:U19)</f>
        <v>2049710.23</v>
      </c>
      <c r="V20" s="15" t="n">
        <f aca="false">U20/$P20</f>
        <v>0.657380647698073</v>
      </c>
      <c r="W20" s="14" t="n">
        <f aca="false">SUM(W15:W19)</f>
        <v>2742564.79</v>
      </c>
      <c r="X20" s="15" t="n">
        <f aca="false">W20/$P20</f>
        <v>0.879592145082932</v>
      </c>
      <c r="Y20" s="14" t="n">
        <f aca="false">SUM(Y15:Y19)</f>
        <v>2230565</v>
      </c>
      <c r="Z20" s="14" t="n">
        <f aca="false">SUM(Z15:Z19)</f>
        <v>2324597</v>
      </c>
    </row>
    <row r="22" customFormat="false" ht="13.9" hidden="false" customHeight="true" outlineLevel="0" collapsed="false">
      <c r="D22" s="19" t="s">
        <v>123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customFormat="false" ht="13.9" hidden="false" customHeight="true" outlineLevel="0" collapsed="false">
      <c r="D23" s="6"/>
      <c r="E23" s="6"/>
      <c r="F23" s="6"/>
      <c r="G23" s="7" t="s">
        <v>1</v>
      </c>
      <c r="H23" s="7" t="s">
        <v>2</v>
      </c>
      <c r="I23" s="7" t="s">
        <v>3</v>
      </c>
      <c r="J23" s="7" t="s">
        <v>4</v>
      </c>
      <c r="K23" s="7" t="s">
        <v>5</v>
      </c>
      <c r="L23" s="7" t="s">
        <v>6</v>
      </c>
      <c r="M23" s="7" t="s">
        <v>7</v>
      </c>
      <c r="N23" s="7" t="s">
        <v>8</v>
      </c>
      <c r="O23" s="7" t="s">
        <v>9</v>
      </c>
      <c r="P23" s="7" t="s">
        <v>10</v>
      </c>
      <c r="Q23" s="7" t="s">
        <v>11</v>
      </c>
      <c r="R23" s="8" t="s">
        <v>12</v>
      </c>
      <c r="S23" s="7" t="s">
        <v>13</v>
      </c>
      <c r="T23" s="8" t="s">
        <v>14</v>
      </c>
      <c r="U23" s="7" t="s">
        <v>15</v>
      </c>
      <c r="V23" s="8" t="s">
        <v>16</v>
      </c>
      <c r="W23" s="7" t="s">
        <v>17</v>
      </c>
      <c r="X23" s="8" t="s">
        <v>18</v>
      </c>
      <c r="Y23" s="7" t="s">
        <v>19</v>
      </c>
      <c r="Z23" s="7" t="s">
        <v>20</v>
      </c>
    </row>
    <row r="24" customFormat="false" ht="13.9" hidden="false" customHeight="true" outlineLevel="0" collapsed="false">
      <c r="A24" s="1" t="n">
        <v>1</v>
      </c>
      <c r="D24" s="73" t="s">
        <v>21</v>
      </c>
      <c r="E24" s="22" t="n">
        <v>111</v>
      </c>
      <c r="F24" s="22" t="s">
        <v>47</v>
      </c>
      <c r="G24" s="23" t="n">
        <f aca="false">G31+G126+G150</f>
        <v>15196.16</v>
      </c>
      <c r="H24" s="23" t="n">
        <f aca="false">H31+H126+H150</f>
        <v>14078.89</v>
      </c>
      <c r="I24" s="23" t="n">
        <f aca="false">I31+I126+I150</f>
        <v>21421</v>
      </c>
      <c r="J24" s="23" t="n">
        <f aca="false">J31+J126+J150</f>
        <v>22608.97</v>
      </c>
      <c r="K24" s="23" t="n">
        <f aca="false">K31+K126+K150</f>
        <v>13237</v>
      </c>
      <c r="L24" s="23" t="n">
        <f aca="false">L31+L126+L150</f>
        <v>3141</v>
      </c>
      <c r="M24" s="23" t="n">
        <f aca="false">M31+M126+M150</f>
        <v>19</v>
      </c>
      <c r="N24" s="23" t="n">
        <f aca="false">N31+N126+N150</f>
        <v>0</v>
      </c>
      <c r="O24" s="23" t="n">
        <f aca="false">O31+O126+O150</f>
        <v>1512</v>
      </c>
      <c r="P24" s="23" t="n">
        <f aca="false">P31+P126+P150</f>
        <v>17909</v>
      </c>
      <c r="Q24" s="23" t="n">
        <f aca="false">Q31+Q126+Q150</f>
        <v>4865.08</v>
      </c>
      <c r="R24" s="24" t="n">
        <f aca="false">Q24/$P24</f>
        <v>0.271655592160366</v>
      </c>
      <c r="S24" s="23" t="n">
        <f aca="false">S31+S126+S150</f>
        <v>10654.18</v>
      </c>
      <c r="T24" s="24" t="n">
        <f aca="false">S24/$P24</f>
        <v>0.594906471606455</v>
      </c>
      <c r="U24" s="23" t="n">
        <f aca="false">U31+U126+U150</f>
        <v>12558.15</v>
      </c>
      <c r="V24" s="24" t="n">
        <f aca="false">U24/$P24</f>
        <v>0.701220056954604</v>
      </c>
      <c r="W24" s="23" t="n">
        <f aca="false">W31+W126+W150</f>
        <v>20286.99</v>
      </c>
      <c r="X24" s="24" t="n">
        <f aca="false">W24/$P24</f>
        <v>1.13278184153219</v>
      </c>
      <c r="Y24" s="23" t="n">
        <f aca="false">Y31+Y126+Y150</f>
        <v>10217</v>
      </c>
      <c r="Z24" s="23" t="n">
        <f aca="false">Z31+Z126+Z150</f>
        <v>14747</v>
      </c>
    </row>
    <row r="25" customFormat="false" ht="13.9" hidden="false" customHeight="true" outlineLevel="0" collapsed="false">
      <c r="A25" s="1" t="n">
        <v>1</v>
      </c>
      <c r="D25" s="73"/>
      <c r="E25" s="22" t="n">
        <v>41</v>
      </c>
      <c r="F25" s="22" t="s">
        <v>23</v>
      </c>
      <c r="G25" s="23" t="n">
        <f aca="false">G32+G129+G137</f>
        <v>252704.18</v>
      </c>
      <c r="H25" s="23" t="n">
        <f aca="false">H32+H129+H137</f>
        <v>219088.42</v>
      </c>
      <c r="I25" s="23" t="n">
        <f aca="false">I32+I129+I137</f>
        <v>226163</v>
      </c>
      <c r="J25" s="23" t="n">
        <f aca="false">J32+J129+J137</f>
        <v>228822.12</v>
      </c>
      <c r="K25" s="23" t="n">
        <f aca="false">K32+K129+K137</f>
        <v>270610</v>
      </c>
      <c r="L25" s="23" t="n">
        <f aca="false">L32+L129+L137</f>
        <v>277</v>
      </c>
      <c r="M25" s="23" t="n">
        <f aca="false">M32+M129+M137</f>
        <v>-8136</v>
      </c>
      <c r="N25" s="23" t="n">
        <f aca="false">N32+N129+N137</f>
        <v>9696</v>
      </c>
      <c r="O25" s="23" t="n">
        <f aca="false">O32+O129+O137</f>
        <v>-5400</v>
      </c>
      <c r="P25" s="23" t="n">
        <f aca="false">P32+P129+P137</f>
        <v>267047</v>
      </c>
      <c r="Q25" s="23" t="n">
        <f aca="false">Q32+Q129+Q137</f>
        <v>65196.18</v>
      </c>
      <c r="R25" s="24" t="n">
        <f aca="false">Q25/$P25</f>
        <v>0.244137473927811</v>
      </c>
      <c r="S25" s="23" t="n">
        <f aca="false">S32+S129+S137</f>
        <v>119290.8</v>
      </c>
      <c r="T25" s="24" t="n">
        <f aca="false">S25/$P25</f>
        <v>0.446703389291024</v>
      </c>
      <c r="U25" s="23" t="n">
        <f aca="false">U32+U129+U137</f>
        <v>184463.09</v>
      </c>
      <c r="V25" s="24" t="n">
        <f aca="false">U25/$P25</f>
        <v>0.690751403311028</v>
      </c>
      <c r="W25" s="23" t="n">
        <f aca="false">W32+W129+W137</f>
        <v>261912.26</v>
      </c>
      <c r="X25" s="24" t="n">
        <f aca="false">W25/$P25</f>
        <v>0.980772148722884</v>
      </c>
      <c r="Y25" s="23" t="n">
        <f aca="false">Y32+Y129+Y137</f>
        <v>273974</v>
      </c>
      <c r="Z25" s="23" t="n">
        <f aca="false">Z32+Z129+Z137</f>
        <v>279561</v>
      </c>
    </row>
    <row r="26" customFormat="false" ht="13.9" hidden="false" customHeight="true" outlineLevel="0" collapsed="false">
      <c r="A26" s="1" t="n">
        <v>1</v>
      </c>
      <c r="D26" s="73"/>
      <c r="E26" s="22" t="n">
        <v>72</v>
      </c>
      <c r="F26" s="22" t="s">
        <v>25</v>
      </c>
      <c r="G26" s="23" t="n">
        <f aca="false">G33</f>
        <v>939.98</v>
      </c>
      <c r="H26" s="23" t="n">
        <f aca="false">H33</f>
        <v>780.65</v>
      </c>
      <c r="I26" s="23" t="n">
        <f aca="false">I33</f>
        <v>782</v>
      </c>
      <c r="J26" s="23" t="n">
        <f aca="false">J33</f>
        <v>910.92</v>
      </c>
      <c r="K26" s="23" t="n">
        <f aca="false">K33</f>
        <v>911</v>
      </c>
      <c r="L26" s="23" t="n">
        <f aca="false">L33</f>
        <v>0</v>
      </c>
      <c r="M26" s="23" t="n">
        <f aca="false">M33</f>
        <v>0</v>
      </c>
      <c r="N26" s="23" t="n">
        <f aca="false">N33</f>
        <v>0</v>
      </c>
      <c r="O26" s="23" t="n">
        <f aca="false">O33</f>
        <v>224</v>
      </c>
      <c r="P26" s="23" t="n">
        <f aca="false">P33</f>
        <v>1135</v>
      </c>
      <c r="Q26" s="23" t="n">
        <f aca="false">Q33</f>
        <v>0</v>
      </c>
      <c r="R26" s="24" t="n">
        <f aca="false">Q26/$P26</f>
        <v>0</v>
      </c>
      <c r="S26" s="23" t="n">
        <f aca="false">S33</f>
        <v>0</v>
      </c>
      <c r="T26" s="24" t="n">
        <f aca="false">S26/$P26</f>
        <v>0</v>
      </c>
      <c r="U26" s="23" t="n">
        <f aca="false">U33</f>
        <v>0</v>
      </c>
      <c r="V26" s="24" t="n">
        <f aca="false">U26/$P26</f>
        <v>0</v>
      </c>
      <c r="W26" s="23" t="n">
        <f aca="false">W33</f>
        <v>1134.96</v>
      </c>
      <c r="X26" s="24" t="n">
        <f aca="false">W26/$P26</f>
        <v>0.999964757709251</v>
      </c>
      <c r="Y26" s="23" t="n">
        <f aca="false">Y33</f>
        <v>911</v>
      </c>
      <c r="Z26" s="23" t="n">
        <f aca="false">Z33</f>
        <v>911</v>
      </c>
    </row>
    <row r="27" customFormat="false" ht="13.9" hidden="false" customHeight="true" outlineLevel="0" collapsed="false">
      <c r="A27" s="1" t="n">
        <v>1</v>
      </c>
      <c r="D27" s="17"/>
      <c r="E27" s="18"/>
      <c r="F27" s="25" t="s">
        <v>122</v>
      </c>
      <c r="G27" s="26" t="n">
        <f aca="false">SUM(G24:G26)</f>
        <v>268840.32</v>
      </c>
      <c r="H27" s="26" t="n">
        <f aca="false">SUM(H24:H26)</f>
        <v>233947.96</v>
      </c>
      <c r="I27" s="26" t="n">
        <f aca="false">SUM(I24:I26)</f>
        <v>248366</v>
      </c>
      <c r="J27" s="26" t="n">
        <f aca="false">SUM(J24:J26)</f>
        <v>252342.01</v>
      </c>
      <c r="K27" s="26" t="n">
        <f aca="false">SUM(K24:K26)</f>
        <v>284758</v>
      </c>
      <c r="L27" s="26" t="n">
        <f aca="false">SUM(L24:L26)</f>
        <v>3418</v>
      </c>
      <c r="M27" s="26" t="n">
        <f aca="false">SUM(M24:M26)</f>
        <v>-8117</v>
      </c>
      <c r="N27" s="26" t="n">
        <f aca="false">SUM(N24:N26)</f>
        <v>9696</v>
      </c>
      <c r="O27" s="26" t="n">
        <f aca="false">SUM(O24:O26)</f>
        <v>-3664</v>
      </c>
      <c r="P27" s="26" t="n">
        <f aca="false">SUM(P24:P26)</f>
        <v>286091</v>
      </c>
      <c r="Q27" s="26" t="n">
        <f aca="false">SUM(Q24:Q26)</f>
        <v>70061.26</v>
      </c>
      <c r="R27" s="27" t="n">
        <f aca="false">Q27/$P27</f>
        <v>0.244891520530181</v>
      </c>
      <c r="S27" s="26" t="n">
        <f aca="false">SUM(S24:S26)</f>
        <v>129944.98</v>
      </c>
      <c r="T27" s="27" t="n">
        <f aca="false">S27/$P27</f>
        <v>0.454208556018889</v>
      </c>
      <c r="U27" s="26" t="n">
        <f aca="false">SUM(U24:U26)</f>
        <v>197021.24</v>
      </c>
      <c r="V27" s="27" t="n">
        <f aca="false">U27/$P27</f>
        <v>0.68866633343936</v>
      </c>
      <c r="W27" s="26" t="n">
        <f aca="false">SUM(W24:W26)</f>
        <v>283334.21</v>
      </c>
      <c r="X27" s="27" t="n">
        <f aca="false">W27/$P27</f>
        <v>0.990363940144919</v>
      </c>
      <c r="Y27" s="26" t="n">
        <f aca="false">SUM(Y24:Y26)</f>
        <v>285102</v>
      </c>
      <c r="Z27" s="26" t="n">
        <f aca="false">SUM(Z24:Z26)</f>
        <v>295219</v>
      </c>
    </row>
    <row r="29" customFormat="false" ht="13.9" hidden="false" customHeight="true" outlineLevel="0" collapsed="false">
      <c r="D29" s="28" t="s">
        <v>124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customFormat="false" ht="13.9" hidden="false" customHeight="true" outlineLevel="0" collapsed="false">
      <c r="D30" s="7"/>
      <c r="E30" s="7"/>
      <c r="F30" s="7"/>
      <c r="G30" s="7" t="s">
        <v>1</v>
      </c>
      <c r="H30" s="7" t="s">
        <v>2</v>
      </c>
      <c r="I30" s="7" t="s">
        <v>3</v>
      </c>
      <c r="J30" s="7" t="s">
        <v>4</v>
      </c>
      <c r="K30" s="7" t="s">
        <v>5</v>
      </c>
      <c r="L30" s="7" t="s">
        <v>6</v>
      </c>
      <c r="M30" s="7" t="s">
        <v>7</v>
      </c>
      <c r="N30" s="7" t="s">
        <v>8</v>
      </c>
      <c r="O30" s="7" t="s">
        <v>9</v>
      </c>
      <c r="P30" s="7" t="s">
        <v>10</v>
      </c>
      <c r="Q30" s="7" t="s">
        <v>11</v>
      </c>
      <c r="R30" s="8" t="s">
        <v>12</v>
      </c>
      <c r="S30" s="7" t="s">
        <v>13</v>
      </c>
      <c r="T30" s="8" t="s">
        <v>14</v>
      </c>
      <c r="U30" s="7" t="s">
        <v>15</v>
      </c>
      <c r="V30" s="8" t="s">
        <v>16</v>
      </c>
      <c r="W30" s="7" t="s">
        <v>17</v>
      </c>
      <c r="X30" s="8" t="s">
        <v>18</v>
      </c>
      <c r="Y30" s="7" t="s">
        <v>19</v>
      </c>
      <c r="Z30" s="7" t="s">
        <v>20</v>
      </c>
    </row>
    <row r="31" customFormat="false" ht="13.9" hidden="false" customHeight="true" outlineLevel="0" collapsed="false">
      <c r="A31" s="1" t="n">
        <v>1</v>
      </c>
      <c r="B31" s="1" t="n">
        <v>1</v>
      </c>
      <c r="D31" s="30" t="s">
        <v>21</v>
      </c>
      <c r="E31" s="10" t="n">
        <v>111</v>
      </c>
      <c r="F31" s="10" t="s">
        <v>47</v>
      </c>
      <c r="G31" s="11" t="n">
        <f aca="false">G50+G73+G113</f>
        <v>6496.09</v>
      </c>
      <c r="H31" s="11" t="n">
        <f aca="false">H50+H73+H113</f>
        <v>6999.53</v>
      </c>
      <c r="I31" s="11" t="n">
        <f aca="false">I50+I73+I113</f>
        <v>5871</v>
      </c>
      <c r="J31" s="11" t="n">
        <f aca="false">J50+J73+J113</f>
        <v>7058.47</v>
      </c>
      <c r="K31" s="11" t="n">
        <f aca="false">K50+K73+K113</f>
        <v>5975</v>
      </c>
      <c r="L31" s="11" t="n">
        <f aca="false">L50+L73+L113</f>
        <v>0</v>
      </c>
      <c r="M31" s="11" t="n">
        <f aca="false">M50+M73+M113</f>
        <v>8</v>
      </c>
      <c r="N31" s="11" t="n">
        <f aca="false">N50+N73+N113</f>
        <v>0</v>
      </c>
      <c r="O31" s="11" t="n">
        <f aca="false">O50+O73+O113</f>
        <v>0</v>
      </c>
      <c r="P31" s="11" t="n">
        <f aca="false">P50+P73+P113</f>
        <v>5983</v>
      </c>
      <c r="Q31" s="11" t="n">
        <f aca="false">Q50+Q73+Q113</f>
        <v>1723.92</v>
      </c>
      <c r="R31" s="12" t="n">
        <f aca="false">Q31/$P31</f>
        <v>0.288136386428213</v>
      </c>
      <c r="S31" s="11" t="n">
        <f aca="false">S50+S73+S113</f>
        <v>3259.58</v>
      </c>
      <c r="T31" s="12" t="n">
        <f aca="false">S31/$P31</f>
        <v>0.544806953033595</v>
      </c>
      <c r="U31" s="11" t="n">
        <f aca="false">U50+U73+U113</f>
        <v>5067.37</v>
      </c>
      <c r="V31" s="12" t="n">
        <f aca="false">U31/$P31</f>
        <v>0.846961390606719</v>
      </c>
      <c r="W31" s="11" t="n">
        <f aca="false">W50+W73+W113</f>
        <v>8543.71</v>
      </c>
      <c r="X31" s="12" t="n">
        <f aca="false">W31/$P31</f>
        <v>1.42799766003677</v>
      </c>
      <c r="Y31" s="11" t="n">
        <f aca="false">Y50+Y73+Y113</f>
        <v>5975</v>
      </c>
      <c r="Z31" s="11" t="n">
        <f aca="false">Z50+Z73+Z113</f>
        <v>5975</v>
      </c>
    </row>
    <row r="32" customFormat="false" ht="13.9" hidden="false" customHeight="true" outlineLevel="0" collapsed="false">
      <c r="A32" s="1" t="n">
        <v>1</v>
      </c>
      <c r="B32" s="1" t="n">
        <v>1</v>
      </c>
      <c r="D32" s="30"/>
      <c r="E32" s="10" t="n">
        <v>41</v>
      </c>
      <c r="F32" s="10" t="s">
        <v>23</v>
      </c>
      <c r="G32" s="11" t="n">
        <f aca="false">G41+G55+G65+G77+G92+G106+G118</f>
        <v>243314.96</v>
      </c>
      <c r="H32" s="11" t="n">
        <f aca="false">H41+H55+H65+H77+H92+H106+H118</f>
        <v>195326.44</v>
      </c>
      <c r="I32" s="11" t="n">
        <f aca="false">I41+I55+I65+I77+I92+I106+I118</f>
        <v>205775</v>
      </c>
      <c r="J32" s="11" t="n">
        <f aca="false">J41+J55+J65+J77+J92+J106+J118</f>
        <v>212853.43</v>
      </c>
      <c r="K32" s="11" t="n">
        <f aca="false">K41+K55+K65+K77+K92+K106+K118</f>
        <v>250599</v>
      </c>
      <c r="L32" s="11" t="n">
        <f aca="false">L41+L55+L65+L77+L92+L106+L118</f>
        <v>277</v>
      </c>
      <c r="M32" s="11" t="n">
        <f aca="false">M41+M55+M65+M77+M92+M106+M118</f>
        <v>-2316</v>
      </c>
      <c r="N32" s="11" t="n">
        <f aca="false">N41+N55+N65+N77+N92+N106+N118</f>
        <v>9617</v>
      </c>
      <c r="O32" s="11" t="n">
        <f aca="false">O41+O55+O65+O77+O92+O106+O118</f>
        <v>-5574</v>
      </c>
      <c r="P32" s="11" t="n">
        <f aca="false">P41+P55+P65+P77+P92+P106+P118</f>
        <v>252603</v>
      </c>
      <c r="Q32" s="11" t="n">
        <f aca="false">Q41+Q55+Q65+Q77+Q92+Q106+Q118</f>
        <v>60309.42</v>
      </c>
      <c r="R32" s="12" t="n">
        <f aca="false">Q32/$P32</f>
        <v>0.238751796296956</v>
      </c>
      <c r="S32" s="11" t="n">
        <f aca="false">S41+S55+S65+S77+S92+S106+S118</f>
        <v>114094.34</v>
      </c>
      <c r="T32" s="12" t="n">
        <f aca="false">S32/$P32</f>
        <v>0.45167452484729</v>
      </c>
      <c r="U32" s="11" t="n">
        <f aca="false">U41+U55+U65+U77+U92+U106+U118</f>
        <v>174839.57</v>
      </c>
      <c r="V32" s="12" t="n">
        <f aca="false">U32/$P32</f>
        <v>0.692151597566141</v>
      </c>
      <c r="W32" s="11" t="n">
        <f aca="false">W41+W55+W65+W77+W92+W106+W118</f>
        <v>247481.76</v>
      </c>
      <c r="X32" s="12" t="n">
        <f aca="false">W32/$P32</f>
        <v>0.979726131518628</v>
      </c>
      <c r="Y32" s="11" t="n">
        <f aca="false">Y41+Y55+Y65+Y77+Y92+Y106+Y118</f>
        <v>253963</v>
      </c>
      <c r="Z32" s="11" t="n">
        <f aca="false">Z41+Z55+Z65+Z77+Z92+Z106+Z118</f>
        <v>259550</v>
      </c>
    </row>
    <row r="33" customFormat="false" ht="13.9" hidden="false" customHeight="true" outlineLevel="0" collapsed="false">
      <c r="A33" s="1" t="n">
        <v>1</v>
      </c>
      <c r="B33" s="1" t="n">
        <v>1</v>
      </c>
      <c r="D33" s="30"/>
      <c r="E33" s="10" t="n">
        <v>72</v>
      </c>
      <c r="F33" s="10" t="s">
        <v>25</v>
      </c>
      <c r="G33" s="11" t="n">
        <f aca="false">G43+G57+G67+G94+G120</f>
        <v>939.98</v>
      </c>
      <c r="H33" s="11" t="n">
        <f aca="false">H43+H57+H67+H94+H120</f>
        <v>780.65</v>
      </c>
      <c r="I33" s="11" t="n">
        <f aca="false">I43+I57+I67+I94+I120</f>
        <v>782</v>
      </c>
      <c r="J33" s="11" t="n">
        <f aca="false">J43+J57+J67+J94+J120</f>
        <v>910.92</v>
      </c>
      <c r="K33" s="11" t="n">
        <f aca="false">K43+K57+K67+K94+K120</f>
        <v>911</v>
      </c>
      <c r="L33" s="11" t="n">
        <f aca="false">L43+L57+L67+L94+L120</f>
        <v>0</v>
      </c>
      <c r="M33" s="11" t="n">
        <f aca="false">M43+M57+M67+M94+M120</f>
        <v>0</v>
      </c>
      <c r="N33" s="11" t="n">
        <f aca="false">N43+N57+N67+N94+N120</f>
        <v>0</v>
      </c>
      <c r="O33" s="11" t="n">
        <f aca="false">O43+O57+O67+O94+O120</f>
        <v>224</v>
      </c>
      <c r="P33" s="11" t="n">
        <f aca="false">P43+P57+P67+P94+P120</f>
        <v>1135</v>
      </c>
      <c r="Q33" s="11" t="n">
        <f aca="false">Q43+Q57+Q67+Q94+Q120</f>
        <v>0</v>
      </c>
      <c r="R33" s="12" t="n">
        <f aca="false">Q33/$P33</f>
        <v>0</v>
      </c>
      <c r="S33" s="11" t="n">
        <f aca="false">S43+S57+S67+S94+S120</f>
        <v>0</v>
      </c>
      <c r="T33" s="12" t="n">
        <f aca="false">S33/$P33</f>
        <v>0</v>
      </c>
      <c r="U33" s="11" t="n">
        <f aca="false">U43+U57+U67+U94+U120</f>
        <v>0</v>
      </c>
      <c r="V33" s="12" t="n">
        <f aca="false">U33/$P33</f>
        <v>0</v>
      </c>
      <c r="W33" s="11" t="n">
        <f aca="false">W43+W57+W67+W94+W120</f>
        <v>1134.96</v>
      </c>
      <c r="X33" s="12" t="n">
        <f aca="false">W33/$P33</f>
        <v>0.999964757709251</v>
      </c>
      <c r="Y33" s="11" t="n">
        <f aca="false">Y43+Y57+Y67+Y94+Y120</f>
        <v>911</v>
      </c>
      <c r="Z33" s="11" t="n">
        <f aca="false">Z43+Z57+Z67+Z94+Z120</f>
        <v>911</v>
      </c>
    </row>
    <row r="34" customFormat="false" ht="13.9" hidden="false" customHeight="true" outlineLevel="0" collapsed="false">
      <c r="A34" s="1" t="n">
        <v>1</v>
      </c>
      <c r="B34" s="1" t="n">
        <v>1</v>
      </c>
      <c r="D34" s="17"/>
      <c r="E34" s="18"/>
      <c r="F34" s="13" t="s">
        <v>122</v>
      </c>
      <c r="G34" s="14" t="n">
        <f aca="false">SUM(G31:G33)</f>
        <v>250751.03</v>
      </c>
      <c r="H34" s="14" t="n">
        <f aca="false">SUM(H31:H33)</f>
        <v>203106.62</v>
      </c>
      <c r="I34" s="14" t="n">
        <f aca="false">SUM(I31:I33)</f>
        <v>212428</v>
      </c>
      <c r="J34" s="14" t="n">
        <f aca="false">SUM(J31:J33)</f>
        <v>220822.82</v>
      </c>
      <c r="K34" s="14" t="n">
        <f aca="false">SUM(K31:K33)</f>
        <v>257485</v>
      </c>
      <c r="L34" s="14" t="n">
        <f aca="false">SUM(L31:L33)</f>
        <v>277</v>
      </c>
      <c r="M34" s="14" t="n">
        <f aca="false">SUM(M31:M33)</f>
        <v>-2308</v>
      </c>
      <c r="N34" s="14" t="n">
        <f aca="false">SUM(N31:N33)</f>
        <v>9617</v>
      </c>
      <c r="O34" s="14" t="n">
        <f aca="false">SUM(O31:O33)</f>
        <v>-5350</v>
      </c>
      <c r="P34" s="14" t="n">
        <f aca="false">SUM(P31:P33)</f>
        <v>259721</v>
      </c>
      <c r="Q34" s="14" t="n">
        <f aca="false">SUM(Q31:Q33)</f>
        <v>62033.34</v>
      </c>
      <c r="R34" s="15" t="n">
        <f aca="false">Q34/$P34</f>
        <v>0.238846069436049</v>
      </c>
      <c r="S34" s="14" t="n">
        <f aca="false">SUM(S31:S33)</f>
        <v>117353.92</v>
      </c>
      <c r="T34" s="15" t="n">
        <f aca="false">S34/$P34</f>
        <v>0.451846096388047</v>
      </c>
      <c r="U34" s="14" t="n">
        <f aca="false">SUM(U31:U33)</f>
        <v>179906.94</v>
      </c>
      <c r="V34" s="15" t="n">
        <f aca="false">U34/$P34</f>
        <v>0.692693082192045</v>
      </c>
      <c r="W34" s="14" t="n">
        <f aca="false">SUM(W31:W33)</f>
        <v>257160.43</v>
      </c>
      <c r="X34" s="15" t="n">
        <f aca="false">W34/$P34</f>
        <v>0.990141074460671</v>
      </c>
      <c r="Y34" s="14" t="n">
        <f aca="false">SUM(Y31:Y33)</f>
        <v>260849</v>
      </c>
      <c r="Z34" s="14" t="n">
        <f aca="false">SUM(Z31:Z33)</f>
        <v>266436</v>
      </c>
    </row>
    <row r="36" customFormat="false" ht="13.9" hidden="false" customHeight="true" outlineLevel="0" collapsed="false">
      <c r="D36" s="60" t="s">
        <v>125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customFormat="false" ht="13.9" hidden="false" customHeight="true" outlineLevel="0" collapsed="false">
      <c r="D37" s="7" t="s">
        <v>33</v>
      </c>
      <c r="E37" s="7" t="s">
        <v>34</v>
      </c>
      <c r="F37" s="7" t="s">
        <v>35</v>
      </c>
      <c r="G37" s="7" t="s">
        <v>1</v>
      </c>
      <c r="H37" s="7" t="s">
        <v>2</v>
      </c>
      <c r="I37" s="7" t="s">
        <v>3</v>
      </c>
      <c r="J37" s="7" t="s">
        <v>4</v>
      </c>
      <c r="K37" s="7" t="s">
        <v>5</v>
      </c>
      <c r="L37" s="7" t="s">
        <v>6</v>
      </c>
      <c r="M37" s="7" t="s">
        <v>7</v>
      </c>
      <c r="N37" s="7" t="s">
        <v>8</v>
      </c>
      <c r="O37" s="7" t="s">
        <v>9</v>
      </c>
      <c r="P37" s="7" t="s">
        <v>10</v>
      </c>
      <c r="Q37" s="7" t="s">
        <v>11</v>
      </c>
      <c r="R37" s="8" t="s">
        <v>12</v>
      </c>
      <c r="S37" s="7" t="s">
        <v>13</v>
      </c>
      <c r="T37" s="8" t="s">
        <v>14</v>
      </c>
      <c r="U37" s="7" t="s">
        <v>15</v>
      </c>
      <c r="V37" s="8" t="s">
        <v>16</v>
      </c>
      <c r="W37" s="7" t="s">
        <v>17</v>
      </c>
      <c r="X37" s="8" t="s">
        <v>18</v>
      </c>
      <c r="Y37" s="7" t="s">
        <v>19</v>
      </c>
      <c r="Z37" s="7" t="s">
        <v>20</v>
      </c>
    </row>
    <row r="38" customFormat="false" ht="13.9" hidden="false" customHeight="true" outlineLevel="0" collapsed="false">
      <c r="A38" s="1" t="n">
        <v>1</v>
      </c>
      <c r="B38" s="1" t="n">
        <v>1</v>
      </c>
      <c r="C38" s="1" t="n">
        <v>1</v>
      </c>
      <c r="D38" s="74" t="s">
        <v>126</v>
      </c>
      <c r="E38" s="10" t="n">
        <v>610</v>
      </c>
      <c r="F38" s="10" t="s">
        <v>127</v>
      </c>
      <c r="G38" s="11" t="n">
        <v>43669.85</v>
      </c>
      <c r="H38" s="33" t="n">
        <v>46893.75</v>
      </c>
      <c r="I38" s="33" t="n">
        <v>47372</v>
      </c>
      <c r="J38" s="33" t="n">
        <v>47765.96</v>
      </c>
      <c r="K38" s="33" t="n">
        <v>50865</v>
      </c>
      <c r="L38" s="33"/>
      <c r="M38" s="33"/>
      <c r="N38" s="33"/>
      <c r="O38" s="33" t="n">
        <v>1247</v>
      </c>
      <c r="P38" s="33" t="n">
        <f aca="false">K38+SUM(L38:O38)</f>
        <v>52112</v>
      </c>
      <c r="Q38" s="33" t="n">
        <v>12819.74</v>
      </c>
      <c r="R38" s="34" t="n">
        <f aca="false">Q38/$P38</f>
        <v>0.246003607614369</v>
      </c>
      <c r="S38" s="33" t="n">
        <v>25948.19</v>
      </c>
      <c r="T38" s="34" t="n">
        <f aca="false">S38/$P38</f>
        <v>0.497931186674854</v>
      </c>
      <c r="U38" s="33" t="n">
        <v>39034.78</v>
      </c>
      <c r="V38" s="34" t="n">
        <f aca="false">U38/$P38</f>
        <v>0.749055495855081</v>
      </c>
      <c r="W38" s="33" t="n">
        <v>52112.15</v>
      </c>
      <c r="X38" s="34" t="n">
        <f aca="false">W38/$P38</f>
        <v>1.00000287841572</v>
      </c>
      <c r="Y38" s="11" t="n">
        <v>52391</v>
      </c>
      <c r="Z38" s="11" t="n">
        <v>53963</v>
      </c>
    </row>
    <row r="39" customFormat="false" ht="13.9" hidden="false" customHeight="true" outlineLevel="0" collapsed="false">
      <c r="A39" s="1" t="n">
        <v>1</v>
      </c>
      <c r="B39" s="1" t="n">
        <v>1</v>
      </c>
      <c r="C39" s="1" t="n">
        <v>1</v>
      </c>
      <c r="D39" s="74"/>
      <c r="E39" s="10" t="n">
        <v>620</v>
      </c>
      <c r="F39" s="10" t="s">
        <v>128</v>
      </c>
      <c r="G39" s="11" t="n">
        <v>17394.66</v>
      </c>
      <c r="H39" s="11" t="n">
        <v>17196.67</v>
      </c>
      <c r="I39" s="11" t="n">
        <v>19794</v>
      </c>
      <c r="J39" s="11" t="n">
        <v>20218.94</v>
      </c>
      <c r="K39" s="11" t="n">
        <v>21085</v>
      </c>
      <c r="L39" s="11"/>
      <c r="M39" s="11"/>
      <c r="N39" s="11"/>
      <c r="O39" s="11" t="n">
        <v>451</v>
      </c>
      <c r="P39" s="11" t="n">
        <f aca="false">K39+SUM(L39:O39)</f>
        <v>21536</v>
      </c>
      <c r="Q39" s="11" t="n">
        <v>5958.06</v>
      </c>
      <c r="R39" s="12" t="n">
        <f aca="false">Q39/$P39</f>
        <v>0.276655832095097</v>
      </c>
      <c r="S39" s="11" t="n">
        <v>10835.21</v>
      </c>
      <c r="T39" s="12" t="n">
        <f aca="false">S39/$P39</f>
        <v>0.503120820950966</v>
      </c>
      <c r="U39" s="11" t="n">
        <v>15696.81</v>
      </c>
      <c r="V39" s="12" t="n">
        <f aca="false">U39/$P39</f>
        <v>0.728863763001486</v>
      </c>
      <c r="W39" s="11" t="n">
        <v>21535.56</v>
      </c>
      <c r="X39" s="12" t="n">
        <f aca="false">W39/$P39</f>
        <v>0.999979569093611</v>
      </c>
      <c r="Y39" s="11" t="n">
        <v>21708</v>
      </c>
      <c r="Z39" s="11" t="n">
        <v>22287</v>
      </c>
    </row>
    <row r="40" customFormat="false" ht="13.9" hidden="false" customHeight="true" outlineLevel="0" collapsed="false">
      <c r="A40" s="1" t="n">
        <v>1</v>
      </c>
      <c r="B40" s="1" t="n">
        <v>1</v>
      </c>
      <c r="C40" s="1" t="n">
        <v>1</v>
      </c>
      <c r="D40" s="74"/>
      <c r="E40" s="10" t="n">
        <v>630</v>
      </c>
      <c r="F40" s="10" t="s">
        <v>129</v>
      </c>
      <c r="G40" s="11" t="n">
        <v>8185.61</v>
      </c>
      <c r="H40" s="33" t="n">
        <v>5330.35</v>
      </c>
      <c r="I40" s="33" t="n">
        <f aca="false">7968+1671</f>
        <v>9639</v>
      </c>
      <c r="J40" s="33" t="n">
        <v>9723.03</v>
      </c>
      <c r="K40" s="33" t="n">
        <f aca="false">7913+8351</f>
        <v>16264</v>
      </c>
      <c r="L40" s="33"/>
      <c r="M40" s="33" t="n">
        <v>-9306</v>
      </c>
      <c r="N40" s="33"/>
      <c r="O40" s="33" t="n">
        <f aca="false">1288+2206</f>
        <v>3494</v>
      </c>
      <c r="P40" s="33" t="n">
        <f aca="false">K40+SUM(L40:O40)</f>
        <v>10452</v>
      </c>
      <c r="Q40" s="33" t="n">
        <v>4507.36</v>
      </c>
      <c r="R40" s="34" t="n">
        <f aca="false">Q40/$P40</f>
        <v>0.431243781094527</v>
      </c>
      <c r="S40" s="33" t="n">
        <v>5279.49</v>
      </c>
      <c r="T40" s="34" t="n">
        <f aca="false">S40/$P40</f>
        <v>0.505117680826636</v>
      </c>
      <c r="U40" s="33" t="n">
        <v>6268.66</v>
      </c>
      <c r="V40" s="34" t="n">
        <f aca="false">U40/$P40</f>
        <v>0.599756984309223</v>
      </c>
      <c r="W40" s="33" t="n">
        <v>10452.84</v>
      </c>
      <c r="X40" s="34" t="n">
        <f aca="false">W40/$P40</f>
        <v>1.0000803673938</v>
      </c>
      <c r="Y40" s="11" t="n">
        <f aca="false">8080+8351</f>
        <v>16431</v>
      </c>
      <c r="Z40" s="11" t="n">
        <f aca="false">8111+8351</f>
        <v>16462</v>
      </c>
    </row>
    <row r="41" customFormat="false" ht="13.9" hidden="false" customHeight="true" outlineLevel="0" collapsed="false">
      <c r="A41" s="1" t="n">
        <v>1</v>
      </c>
      <c r="B41" s="1" t="n">
        <v>1</v>
      </c>
      <c r="C41" s="1" t="n">
        <v>1</v>
      </c>
      <c r="D41" s="75" t="s">
        <v>21</v>
      </c>
      <c r="E41" s="35" t="n">
        <v>41</v>
      </c>
      <c r="F41" s="35" t="s">
        <v>23</v>
      </c>
      <c r="G41" s="36" t="n">
        <f aca="false">SUM(G38:G40)</f>
        <v>69250.12</v>
      </c>
      <c r="H41" s="36" t="n">
        <f aca="false">SUM(H38:H40)</f>
        <v>69420.77</v>
      </c>
      <c r="I41" s="36" t="n">
        <f aca="false">SUM(I38:I40)</f>
        <v>76805</v>
      </c>
      <c r="J41" s="36" t="n">
        <f aca="false">SUM(J38:J40)</f>
        <v>77707.93</v>
      </c>
      <c r="K41" s="36" t="n">
        <f aca="false">SUM(K38:K40)</f>
        <v>88214</v>
      </c>
      <c r="L41" s="36" t="n">
        <f aca="false">SUM(L38:L40)</f>
        <v>0</v>
      </c>
      <c r="M41" s="36" t="n">
        <f aca="false">SUM(M38:M40)</f>
        <v>-9306</v>
      </c>
      <c r="N41" s="36" t="n">
        <f aca="false">SUM(N38:N40)</f>
        <v>0</v>
      </c>
      <c r="O41" s="36" t="n">
        <f aca="false">SUM(O38:O40)</f>
        <v>5192</v>
      </c>
      <c r="P41" s="36" t="n">
        <f aca="false">SUM(P38:P40)</f>
        <v>84100</v>
      </c>
      <c r="Q41" s="36" t="n">
        <f aca="false">SUM(Q38:Q40)</f>
        <v>23285.16</v>
      </c>
      <c r="R41" s="37" t="n">
        <f aca="false">Q41/$P41</f>
        <v>0.276874673008323</v>
      </c>
      <c r="S41" s="36" t="n">
        <f aca="false">SUM(S38:S40)</f>
        <v>42062.89</v>
      </c>
      <c r="T41" s="37" t="n">
        <f aca="false">S41/$P41</f>
        <v>0.500153269916766</v>
      </c>
      <c r="U41" s="36" t="n">
        <f aca="false">SUM(U38:U40)</f>
        <v>61000.25</v>
      </c>
      <c r="V41" s="37" t="n">
        <f aca="false">U41/$P41</f>
        <v>0.725329964328181</v>
      </c>
      <c r="W41" s="36" t="n">
        <f aca="false">SUM(W38:W40)</f>
        <v>84100.55</v>
      </c>
      <c r="X41" s="37" t="n">
        <f aca="false">W41/$P41</f>
        <v>1.00000653983353</v>
      </c>
      <c r="Y41" s="36" t="n">
        <f aca="false">SUM(Y38:Y40)</f>
        <v>90530</v>
      </c>
      <c r="Z41" s="36" t="n">
        <f aca="false">SUM(Z38:Z40)</f>
        <v>92712</v>
      </c>
    </row>
    <row r="42" customFormat="false" ht="13.9" hidden="false" customHeight="true" outlineLevel="0" collapsed="false">
      <c r="A42" s="1" t="n">
        <v>1</v>
      </c>
      <c r="B42" s="1" t="n">
        <v>1</v>
      </c>
      <c r="C42" s="1" t="n">
        <v>1</v>
      </c>
      <c r="D42" s="10" t="s">
        <v>126</v>
      </c>
      <c r="E42" s="10" t="n">
        <v>640</v>
      </c>
      <c r="F42" s="10" t="s">
        <v>130</v>
      </c>
      <c r="G42" s="11" t="n">
        <v>133.15</v>
      </c>
      <c r="H42" s="11" t="n">
        <v>145.6</v>
      </c>
      <c r="I42" s="11" t="n">
        <v>146</v>
      </c>
      <c r="J42" s="11" t="n">
        <v>148.5</v>
      </c>
      <c r="K42" s="11" t="n">
        <v>149</v>
      </c>
      <c r="L42" s="11"/>
      <c r="M42" s="11"/>
      <c r="N42" s="11"/>
      <c r="O42" s="11" t="n">
        <v>31</v>
      </c>
      <c r="P42" s="11" t="n">
        <f aca="false">K42+SUM(L42:O42)</f>
        <v>180</v>
      </c>
      <c r="Q42" s="11" t="n">
        <v>0</v>
      </c>
      <c r="R42" s="12" t="n">
        <f aca="false">Q42/$P42</f>
        <v>0</v>
      </c>
      <c r="S42" s="11" t="n">
        <v>0</v>
      </c>
      <c r="T42" s="12" t="n">
        <f aca="false">S42/$P42</f>
        <v>0</v>
      </c>
      <c r="U42" s="11" t="n">
        <v>0</v>
      </c>
      <c r="V42" s="12" t="n">
        <f aca="false">U42/$P42</f>
        <v>0</v>
      </c>
      <c r="W42" s="11" t="n">
        <v>180.3</v>
      </c>
      <c r="X42" s="12" t="n">
        <f aca="false">W42/$P42</f>
        <v>1.00166666666667</v>
      </c>
      <c r="Y42" s="11" t="n">
        <f aca="false">K42</f>
        <v>149</v>
      </c>
      <c r="Z42" s="11" t="n">
        <f aca="false">Y42</f>
        <v>149</v>
      </c>
    </row>
    <row r="43" customFormat="false" ht="13.9" hidden="false" customHeight="true" outlineLevel="0" collapsed="false">
      <c r="A43" s="1" t="n">
        <v>1</v>
      </c>
      <c r="B43" s="1" t="n">
        <v>1</v>
      </c>
      <c r="C43" s="1" t="n">
        <v>1</v>
      </c>
      <c r="D43" s="75" t="s">
        <v>21</v>
      </c>
      <c r="E43" s="76" t="n">
        <v>72</v>
      </c>
      <c r="F43" s="35" t="s">
        <v>25</v>
      </c>
      <c r="G43" s="36" t="n">
        <f aca="false">SUM(G42)</f>
        <v>133.15</v>
      </c>
      <c r="H43" s="36" t="n">
        <f aca="false">SUM(H42)</f>
        <v>145.6</v>
      </c>
      <c r="I43" s="36" t="n">
        <f aca="false">SUM(I42)</f>
        <v>146</v>
      </c>
      <c r="J43" s="36" t="n">
        <f aca="false">SUM(J42)</f>
        <v>148.5</v>
      </c>
      <c r="K43" s="36" t="n">
        <f aca="false">SUM(K42)</f>
        <v>149</v>
      </c>
      <c r="L43" s="36" t="n">
        <f aca="false">SUM(L42)</f>
        <v>0</v>
      </c>
      <c r="M43" s="36" t="n">
        <f aca="false">SUM(M42)</f>
        <v>0</v>
      </c>
      <c r="N43" s="36" t="n">
        <f aca="false">SUM(N42)</f>
        <v>0</v>
      </c>
      <c r="O43" s="36" t="n">
        <f aca="false">SUM(O42)</f>
        <v>31</v>
      </c>
      <c r="P43" s="36" t="n">
        <f aca="false">SUM(P42)</f>
        <v>180</v>
      </c>
      <c r="Q43" s="36" t="n">
        <f aca="false">SUM(Q42)</f>
        <v>0</v>
      </c>
      <c r="R43" s="37" t="n">
        <f aca="false">Q43/$P43</f>
        <v>0</v>
      </c>
      <c r="S43" s="36" t="n">
        <f aca="false">SUM(S42)</f>
        <v>0</v>
      </c>
      <c r="T43" s="37" t="n">
        <f aca="false">S43/$P43</f>
        <v>0</v>
      </c>
      <c r="U43" s="36" t="n">
        <f aca="false">SUM(U42)</f>
        <v>0</v>
      </c>
      <c r="V43" s="37" t="n">
        <f aca="false">U43/$P43</f>
        <v>0</v>
      </c>
      <c r="W43" s="36" t="n">
        <f aca="false">SUM(W42)</f>
        <v>180.3</v>
      </c>
      <c r="X43" s="37" t="n">
        <f aca="false">W43/$P43</f>
        <v>1.00166666666667</v>
      </c>
      <c r="Y43" s="36" t="n">
        <f aca="false">SUM(Y42)</f>
        <v>149</v>
      </c>
      <c r="Z43" s="36" t="n">
        <f aca="false">SUM(Z42)</f>
        <v>149</v>
      </c>
    </row>
    <row r="44" customFormat="false" ht="13.9" hidden="false" customHeight="true" outlineLevel="0" collapsed="false">
      <c r="A44" s="1" t="n">
        <v>1</v>
      </c>
      <c r="B44" s="1" t="n">
        <v>1</v>
      </c>
      <c r="C44" s="1" t="n">
        <v>1</v>
      </c>
      <c r="D44" s="77"/>
      <c r="E44" s="78"/>
      <c r="F44" s="13" t="s">
        <v>122</v>
      </c>
      <c r="G44" s="14" t="n">
        <f aca="false">G41+G43</f>
        <v>69383.27</v>
      </c>
      <c r="H44" s="14" t="n">
        <f aca="false">H41+H43</f>
        <v>69566.37</v>
      </c>
      <c r="I44" s="14" t="n">
        <f aca="false">I41+I43</f>
        <v>76951</v>
      </c>
      <c r="J44" s="14" t="n">
        <f aca="false">J41+J43</f>
        <v>77856.43</v>
      </c>
      <c r="K44" s="14" t="n">
        <f aca="false">K41+K43</f>
        <v>88363</v>
      </c>
      <c r="L44" s="14" t="n">
        <f aca="false">L41+L43</f>
        <v>0</v>
      </c>
      <c r="M44" s="14" t="n">
        <f aca="false">M41+M43</f>
        <v>-9306</v>
      </c>
      <c r="N44" s="14" t="n">
        <f aca="false">N41+N43</f>
        <v>0</v>
      </c>
      <c r="O44" s="14" t="n">
        <f aca="false">O41+O43</f>
        <v>5223</v>
      </c>
      <c r="P44" s="14" t="n">
        <f aca="false">P41+P43</f>
        <v>84280</v>
      </c>
      <c r="Q44" s="14" t="n">
        <f aca="false">Q41+Q43</f>
        <v>23285.16</v>
      </c>
      <c r="R44" s="15" t="n">
        <f aca="false">Q44/$P44</f>
        <v>0.276283341243474</v>
      </c>
      <c r="S44" s="14" t="n">
        <f aca="false">S41+S43</f>
        <v>42062.89</v>
      </c>
      <c r="T44" s="15" t="n">
        <f aca="false">S44/$P44</f>
        <v>0.499085073564309</v>
      </c>
      <c r="U44" s="14" t="n">
        <f aca="false">U41+U43</f>
        <v>61000.25</v>
      </c>
      <c r="V44" s="15" t="n">
        <f aca="false">U44/$P44</f>
        <v>0.723780849549122</v>
      </c>
      <c r="W44" s="14" t="n">
        <f aca="false">W41+W43</f>
        <v>84280.85</v>
      </c>
      <c r="X44" s="15" t="n">
        <f aca="false">W44/$P44</f>
        <v>1.00001008542952</v>
      </c>
      <c r="Y44" s="14" t="n">
        <f aca="false">Y41+Y43</f>
        <v>90679</v>
      </c>
      <c r="Z44" s="14" t="n">
        <f aca="false">Z41+Z43</f>
        <v>92861</v>
      </c>
    </row>
    <row r="45" customFormat="false" ht="13.9" hidden="false" customHeight="true" outlineLevel="0" collapsed="false">
      <c r="D45" s="79"/>
      <c r="E45" s="31"/>
      <c r="F45" s="31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1"/>
      <c r="S45" s="80"/>
      <c r="T45" s="81"/>
      <c r="U45" s="80"/>
      <c r="V45" s="81"/>
      <c r="W45" s="80"/>
      <c r="X45" s="81"/>
      <c r="Y45" s="80"/>
      <c r="Z45" s="80"/>
    </row>
    <row r="46" customFormat="false" ht="13.9" hidden="false" customHeight="true" outlineLevel="0" collapsed="false">
      <c r="D46" s="60" t="s">
        <v>131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customFormat="false" ht="13.9" hidden="false" customHeight="true" outlineLevel="0" collapsed="false">
      <c r="D47" s="7" t="s">
        <v>33</v>
      </c>
      <c r="E47" s="7" t="s">
        <v>34</v>
      </c>
      <c r="F47" s="7" t="s">
        <v>35</v>
      </c>
      <c r="G47" s="7" t="s">
        <v>1</v>
      </c>
      <c r="H47" s="7" t="s">
        <v>2</v>
      </c>
      <c r="I47" s="7" t="s">
        <v>3</v>
      </c>
      <c r="J47" s="7" t="s">
        <v>4</v>
      </c>
      <c r="K47" s="7" t="s">
        <v>5</v>
      </c>
      <c r="L47" s="7" t="s">
        <v>6</v>
      </c>
      <c r="M47" s="7" t="s">
        <v>7</v>
      </c>
      <c r="N47" s="7" t="s">
        <v>8</v>
      </c>
      <c r="O47" s="7" t="s">
        <v>9</v>
      </c>
      <c r="P47" s="7" t="s">
        <v>10</v>
      </c>
      <c r="Q47" s="7" t="s">
        <v>11</v>
      </c>
      <c r="R47" s="8" t="s">
        <v>12</v>
      </c>
      <c r="S47" s="7" t="s">
        <v>13</v>
      </c>
      <c r="T47" s="8" t="s">
        <v>14</v>
      </c>
      <c r="U47" s="7" t="s">
        <v>15</v>
      </c>
      <c r="V47" s="8" t="s">
        <v>16</v>
      </c>
      <c r="W47" s="7" t="s">
        <v>17</v>
      </c>
      <c r="X47" s="8" t="s">
        <v>18</v>
      </c>
      <c r="Y47" s="7" t="s">
        <v>19</v>
      </c>
      <c r="Z47" s="7" t="s">
        <v>20</v>
      </c>
    </row>
    <row r="48" customFormat="false" ht="13.9" hidden="false" customHeight="true" outlineLevel="0" collapsed="false">
      <c r="A48" s="1" t="n">
        <v>1</v>
      </c>
      <c r="B48" s="1" t="n">
        <v>1</v>
      </c>
      <c r="C48" s="1" t="n">
        <v>2</v>
      </c>
      <c r="D48" s="10" t="s">
        <v>126</v>
      </c>
      <c r="E48" s="10" t="n">
        <v>610</v>
      </c>
      <c r="F48" s="10" t="s">
        <v>127</v>
      </c>
      <c r="G48" s="11" t="n">
        <v>294.74</v>
      </c>
      <c r="H48" s="11" t="n">
        <v>298.29</v>
      </c>
      <c r="I48" s="11" t="n">
        <f aca="false">príjmy!F110</f>
        <v>310</v>
      </c>
      <c r="J48" s="11" t="n">
        <v>310.47</v>
      </c>
      <c r="K48" s="11" t="n">
        <f aca="false">príjmy!H110</f>
        <v>310</v>
      </c>
      <c r="L48" s="11"/>
      <c r="M48" s="11" t="n">
        <v>8</v>
      </c>
      <c r="N48" s="11"/>
      <c r="O48" s="11"/>
      <c r="P48" s="11" t="n">
        <f aca="false">K48+SUM(L48:O48)</f>
        <v>318</v>
      </c>
      <c r="Q48" s="11" t="n">
        <v>0</v>
      </c>
      <c r="R48" s="12" t="n">
        <f aca="false">Q48/$P48</f>
        <v>0</v>
      </c>
      <c r="S48" s="11" t="n">
        <v>0</v>
      </c>
      <c r="T48" s="12" t="n">
        <f aca="false">S48/$P48</f>
        <v>0</v>
      </c>
      <c r="U48" s="11" t="n">
        <v>318.27</v>
      </c>
      <c r="V48" s="12" t="n">
        <f aca="false">U48/$P48</f>
        <v>1.00084905660377</v>
      </c>
      <c r="W48" s="11" t="n">
        <v>1318.27</v>
      </c>
      <c r="X48" s="12" t="n">
        <f aca="false">W48/$P48</f>
        <v>4.14550314465409</v>
      </c>
      <c r="Y48" s="11" t="n">
        <f aca="false">príjmy!V110</f>
        <v>310</v>
      </c>
      <c r="Z48" s="11" t="n">
        <f aca="false">príjmy!W110</f>
        <v>310</v>
      </c>
    </row>
    <row r="49" customFormat="false" ht="13.9" hidden="false" customHeight="true" outlineLevel="0" collapsed="false">
      <c r="D49" s="10"/>
      <c r="E49" s="10" t="n">
        <v>620</v>
      </c>
      <c r="F49" s="10" t="s">
        <v>128</v>
      </c>
      <c r="G49" s="11" t="n">
        <v>0</v>
      </c>
      <c r="H49" s="11" t="n">
        <v>0</v>
      </c>
      <c r="I49" s="11" t="n">
        <v>0</v>
      </c>
      <c r="J49" s="11" t="n">
        <v>0</v>
      </c>
      <c r="K49" s="11" t="n">
        <v>0</v>
      </c>
      <c r="L49" s="11"/>
      <c r="M49" s="11"/>
      <c r="N49" s="11"/>
      <c r="O49" s="11"/>
      <c r="P49" s="11" t="n">
        <f aca="false">K49+SUM(L49:O49)</f>
        <v>0</v>
      </c>
      <c r="Q49" s="11" t="n">
        <v>0</v>
      </c>
      <c r="R49" s="12" t="e">
        <f aca="false">Q49/$P49</f>
        <v>#DIV/0!</v>
      </c>
      <c r="S49" s="11" t="n">
        <v>0</v>
      </c>
      <c r="T49" s="12" t="e">
        <f aca="false">S49/$P49</f>
        <v>#DIV/0!</v>
      </c>
      <c r="U49" s="11" t="n">
        <v>0</v>
      </c>
      <c r="V49" s="12" t="e">
        <f aca="false">U49/$P49</f>
        <v>#DIV/0!</v>
      </c>
      <c r="W49" s="11" t="n">
        <v>349.5</v>
      </c>
      <c r="X49" s="12" t="e">
        <f aca="false">W49/$P49</f>
        <v>#DIV/0!</v>
      </c>
      <c r="Y49" s="11" t="n">
        <v>0</v>
      </c>
      <c r="Z49" s="11" t="n">
        <v>0</v>
      </c>
    </row>
    <row r="50" customFormat="false" ht="13.9" hidden="false" customHeight="true" outlineLevel="0" collapsed="false">
      <c r="A50" s="1" t="n">
        <v>1</v>
      </c>
      <c r="B50" s="1" t="n">
        <v>1</v>
      </c>
      <c r="C50" s="1" t="n">
        <v>2</v>
      </c>
      <c r="D50" s="75" t="s">
        <v>21</v>
      </c>
      <c r="E50" s="35" t="n">
        <v>111</v>
      </c>
      <c r="F50" s="35" t="s">
        <v>132</v>
      </c>
      <c r="G50" s="36" t="n">
        <f aca="false">SUM(G48:G49)</f>
        <v>294.74</v>
      </c>
      <c r="H50" s="36" t="n">
        <f aca="false">SUM(H48:H49)</f>
        <v>298.29</v>
      </c>
      <c r="I50" s="36" t="n">
        <f aca="false">SUM(I48:I49)</f>
        <v>310</v>
      </c>
      <c r="J50" s="36" t="n">
        <f aca="false">SUM(J48:J49)</f>
        <v>310.47</v>
      </c>
      <c r="K50" s="36" t="n">
        <f aca="false">SUM(K48:K49)</f>
        <v>310</v>
      </c>
      <c r="L50" s="36" t="n">
        <f aca="false">SUM(L48:L49)</f>
        <v>0</v>
      </c>
      <c r="M50" s="36" t="n">
        <f aca="false">SUM(M48:M49)</f>
        <v>8</v>
      </c>
      <c r="N50" s="36" t="n">
        <f aca="false">SUM(N48:N49)</f>
        <v>0</v>
      </c>
      <c r="O50" s="36" t="n">
        <f aca="false">SUM(O48:O49)</f>
        <v>0</v>
      </c>
      <c r="P50" s="36" t="n">
        <f aca="false">SUM(P48:P49)</f>
        <v>318</v>
      </c>
      <c r="Q50" s="36" t="n">
        <f aca="false">SUM(Q48:Q49)</f>
        <v>0</v>
      </c>
      <c r="R50" s="37" t="n">
        <f aca="false">Q50/$P50</f>
        <v>0</v>
      </c>
      <c r="S50" s="36" t="n">
        <f aca="false">SUM(S48:S49)</f>
        <v>0</v>
      </c>
      <c r="T50" s="37" t="n">
        <f aca="false">S50/$P50</f>
        <v>0</v>
      </c>
      <c r="U50" s="36" t="n">
        <f aca="false">SUM(U48:U49)</f>
        <v>318.27</v>
      </c>
      <c r="V50" s="37" t="n">
        <f aca="false">U50/$P50</f>
        <v>1.00084905660377</v>
      </c>
      <c r="W50" s="36" t="n">
        <f aca="false">SUM(W48:W49)</f>
        <v>1667.77</v>
      </c>
      <c r="X50" s="37" t="n">
        <f aca="false">W50/$P50</f>
        <v>5.24455974842767</v>
      </c>
      <c r="Y50" s="36" t="n">
        <f aca="false">SUM(Y48:Y49)</f>
        <v>310</v>
      </c>
      <c r="Z50" s="36" t="n">
        <f aca="false">SUM(Z48:Z49)</f>
        <v>310</v>
      </c>
    </row>
    <row r="51" customFormat="false" ht="13.9" hidden="false" customHeight="true" outlineLevel="0" collapsed="false">
      <c r="A51" s="1" t="n">
        <v>1</v>
      </c>
      <c r="B51" s="1" t="n">
        <v>1</v>
      </c>
      <c r="C51" s="1" t="n">
        <v>2</v>
      </c>
      <c r="D51" s="74" t="s">
        <v>126</v>
      </c>
      <c r="E51" s="10" t="n">
        <v>610</v>
      </c>
      <c r="F51" s="10" t="s">
        <v>127</v>
      </c>
      <c r="G51" s="11" t="n">
        <v>59578.7</v>
      </c>
      <c r="H51" s="33" t="n">
        <v>53896.7</v>
      </c>
      <c r="I51" s="33" t="n">
        <f aca="false">57023-I48</f>
        <v>56713</v>
      </c>
      <c r="J51" s="33" t="n">
        <v>57232.5</v>
      </c>
      <c r="K51" s="33" t="n">
        <v>60505</v>
      </c>
      <c r="L51" s="33" t="n">
        <v>-135</v>
      </c>
      <c r="M51" s="33"/>
      <c r="N51" s="33" t="n">
        <v>2000</v>
      </c>
      <c r="O51" s="33" t="n">
        <f aca="false">2162+37</f>
        <v>2199</v>
      </c>
      <c r="P51" s="33" t="n">
        <f aca="false">K51+SUM(L51:O51)</f>
        <v>64569</v>
      </c>
      <c r="Q51" s="33" t="n">
        <v>15236.4</v>
      </c>
      <c r="R51" s="34" t="n">
        <f aca="false">Q51/$P51</f>
        <v>0.235970821911444</v>
      </c>
      <c r="S51" s="33" t="n">
        <v>28905.25</v>
      </c>
      <c r="T51" s="34" t="n">
        <f aca="false">S51/$P51</f>
        <v>0.447664513930834</v>
      </c>
      <c r="U51" s="33" t="n">
        <v>43036.15</v>
      </c>
      <c r="V51" s="34" t="n">
        <f aca="false">U51/$P51</f>
        <v>0.66651411668138</v>
      </c>
      <c r="W51" s="33" t="n">
        <v>63568.65</v>
      </c>
      <c r="X51" s="34" t="n">
        <f aca="false">W51/$P51</f>
        <v>0.984507271291177</v>
      </c>
      <c r="Y51" s="33" t="n">
        <v>59539</v>
      </c>
      <c r="Z51" s="33" t="n">
        <v>61240</v>
      </c>
    </row>
    <row r="52" customFormat="false" ht="13.9" hidden="false" customHeight="true" outlineLevel="0" collapsed="false">
      <c r="A52" s="1" t="n">
        <v>1</v>
      </c>
      <c r="B52" s="1" t="n">
        <v>1</v>
      </c>
      <c r="C52" s="1" t="n">
        <v>2</v>
      </c>
      <c r="D52" s="74"/>
      <c r="E52" s="10" t="n">
        <v>620</v>
      </c>
      <c r="F52" s="10" t="s">
        <v>128</v>
      </c>
      <c r="G52" s="11" t="n">
        <v>22610.68</v>
      </c>
      <c r="H52" s="11" t="n">
        <v>18796.07</v>
      </c>
      <c r="I52" s="11" t="n">
        <v>21304</v>
      </c>
      <c r="J52" s="11" t="n">
        <v>21110.48</v>
      </c>
      <c r="K52" s="11" t="n">
        <v>22598</v>
      </c>
      <c r="L52" s="11"/>
      <c r="M52" s="11"/>
      <c r="N52" s="11" t="n">
        <v>696</v>
      </c>
      <c r="O52" s="11" t="n">
        <v>703</v>
      </c>
      <c r="P52" s="11" t="n">
        <f aca="false">K52+SUM(L52:O52)</f>
        <v>23997</v>
      </c>
      <c r="Q52" s="11" t="n">
        <v>5598.25</v>
      </c>
      <c r="R52" s="12" t="n">
        <f aca="false">Q52/$P52</f>
        <v>0.2332895778639</v>
      </c>
      <c r="S52" s="11" t="n">
        <v>10627.51</v>
      </c>
      <c r="T52" s="12" t="n">
        <f aca="false">S52/$P52</f>
        <v>0.442868275201067</v>
      </c>
      <c r="U52" s="11" t="n">
        <v>15995.08</v>
      </c>
      <c r="V52" s="12" t="n">
        <f aca="false">U52/$P52</f>
        <v>0.666544984789765</v>
      </c>
      <c r="W52" s="11" t="n">
        <v>23647.39</v>
      </c>
      <c r="X52" s="12" t="n">
        <f aca="false">W52/$P52</f>
        <v>0.985431095553611</v>
      </c>
      <c r="Y52" s="11" t="n">
        <v>22232</v>
      </c>
      <c r="Z52" s="11" t="n">
        <v>22861</v>
      </c>
    </row>
    <row r="53" customFormat="false" ht="13.9" hidden="false" customHeight="true" outlineLevel="0" collapsed="false">
      <c r="A53" s="1" t="n">
        <v>1</v>
      </c>
      <c r="B53" s="1" t="n">
        <v>1</v>
      </c>
      <c r="C53" s="1" t="n">
        <v>2</v>
      </c>
      <c r="D53" s="74"/>
      <c r="E53" s="10" t="n">
        <v>630</v>
      </c>
      <c r="F53" s="10" t="s">
        <v>129</v>
      </c>
      <c r="G53" s="11" t="n">
        <v>5956.73</v>
      </c>
      <c r="H53" s="11" t="n">
        <v>4785.57</v>
      </c>
      <c r="I53" s="11" t="n">
        <f aca="false">4725+700</f>
        <v>5425</v>
      </c>
      <c r="J53" s="11" t="n">
        <v>4589.29</v>
      </c>
      <c r="K53" s="11" t="n">
        <f aca="false">4641+640</f>
        <v>5281</v>
      </c>
      <c r="L53" s="11"/>
      <c r="M53" s="11"/>
      <c r="N53" s="11"/>
      <c r="O53" s="11" t="n">
        <v>327</v>
      </c>
      <c r="P53" s="11" t="n">
        <f aca="false">K53+SUM(L53:O53)</f>
        <v>5608</v>
      </c>
      <c r="Q53" s="11" t="n">
        <v>1473.63</v>
      </c>
      <c r="R53" s="12" t="n">
        <f aca="false">Q53/$P53</f>
        <v>0.262772824536377</v>
      </c>
      <c r="S53" s="11" t="n">
        <v>2770.07</v>
      </c>
      <c r="T53" s="12" t="n">
        <f aca="false">S53/$P53</f>
        <v>0.493949714693295</v>
      </c>
      <c r="U53" s="11" t="n">
        <v>4241.92</v>
      </c>
      <c r="V53" s="12" t="n">
        <f aca="false">U53/$P53</f>
        <v>0.756405135520685</v>
      </c>
      <c r="W53" s="11" t="n">
        <v>5608.13</v>
      </c>
      <c r="X53" s="12" t="n">
        <f aca="false">W53/$P53</f>
        <v>1.00002318116976</v>
      </c>
      <c r="Y53" s="11" t="n">
        <f aca="false">4563+640</f>
        <v>5203</v>
      </c>
      <c r="Z53" s="11" t="n">
        <f aca="false">4644+640</f>
        <v>5284</v>
      </c>
    </row>
    <row r="54" customFormat="false" ht="13.9" hidden="false" customHeight="true" outlineLevel="0" collapsed="false">
      <c r="A54" s="1" t="n">
        <v>1</v>
      </c>
      <c r="B54" s="1" t="n">
        <v>1</v>
      </c>
      <c r="C54" s="1" t="n">
        <v>2</v>
      </c>
      <c r="D54" s="74"/>
      <c r="E54" s="10" t="n">
        <v>640</v>
      </c>
      <c r="F54" s="10" t="s">
        <v>130</v>
      </c>
      <c r="G54" s="11" t="n">
        <v>2213.75</v>
      </c>
      <c r="H54" s="11" t="n">
        <v>0</v>
      </c>
      <c r="I54" s="11" t="n">
        <v>0</v>
      </c>
      <c r="J54" s="11" t="n">
        <v>132.54</v>
      </c>
      <c r="K54" s="11" t="n">
        <v>0</v>
      </c>
      <c r="L54" s="11" t="n">
        <v>135</v>
      </c>
      <c r="M54" s="11"/>
      <c r="N54" s="11"/>
      <c r="O54" s="11"/>
      <c r="P54" s="11" t="n">
        <f aca="false">K54+SUM(L54:O54)</f>
        <v>135</v>
      </c>
      <c r="Q54" s="11" t="n">
        <v>0</v>
      </c>
      <c r="R54" s="12" t="n">
        <f aca="false">Q54/$P54</f>
        <v>0</v>
      </c>
      <c r="S54" s="11" t="n">
        <v>134.83</v>
      </c>
      <c r="T54" s="12" t="n">
        <f aca="false">S54/$P54</f>
        <v>0.998740740740741</v>
      </c>
      <c r="U54" s="11" t="n">
        <v>134.83</v>
      </c>
      <c r="V54" s="12" t="n">
        <f aca="false">U54/$P54</f>
        <v>0.998740740740741</v>
      </c>
      <c r="W54" s="11" t="n">
        <v>134.83</v>
      </c>
      <c r="X54" s="12" t="n">
        <f aca="false">W54/$P54</f>
        <v>0.998740740740741</v>
      </c>
      <c r="Y54" s="11" t="n">
        <v>0</v>
      </c>
      <c r="Z54" s="11" t="n">
        <v>0</v>
      </c>
    </row>
    <row r="55" customFormat="false" ht="13.9" hidden="false" customHeight="true" outlineLevel="0" collapsed="false">
      <c r="A55" s="1" t="n">
        <v>1</v>
      </c>
      <c r="B55" s="1" t="n">
        <v>1</v>
      </c>
      <c r="C55" s="1" t="n">
        <v>2</v>
      </c>
      <c r="D55" s="75" t="s">
        <v>21</v>
      </c>
      <c r="E55" s="35" t="n">
        <v>41</v>
      </c>
      <c r="F55" s="35" t="s">
        <v>23</v>
      </c>
      <c r="G55" s="36" t="n">
        <f aca="false">SUM(G51:G54)</f>
        <v>90359.86</v>
      </c>
      <c r="H55" s="36" t="n">
        <f aca="false">SUM(H51:H54)</f>
        <v>77478.34</v>
      </c>
      <c r="I55" s="36" t="n">
        <f aca="false">SUM(I51:I54)</f>
        <v>83442</v>
      </c>
      <c r="J55" s="36" t="n">
        <f aca="false">SUM(J51:J54)</f>
        <v>83064.81</v>
      </c>
      <c r="K55" s="36" t="n">
        <f aca="false">SUM(K51:K54)</f>
        <v>88384</v>
      </c>
      <c r="L55" s="36" t="n">
        <f aca="false">SUM(L51:L54)</f>
        <v>0</v>
      </c>
      <c r="M55" s="36" t="n">
        <f aca="false">SUM(M51:M54)</f>
        <v>0</v>
      </c>
      <c r="N55" s="36" t="n">
        <f aca="false">SUM(N51:N54)</f>
        <v>2696</v>
      </c>
      <c r="O55" s="36" t="n">
        <f aca="false">SUM(O51:O54)</f>
        <v>3229</v>
      </c>
      <c r="P55" s="36" t="n">
        <f aca="false">SUM(P51:P54)</f>
        <v>94309</v>
      </c>
      <c r="Q55" s="36" t="n">
        <f aca="false">SUM(Q51:Q54)</f>
        <v>22308.28</v>
      </c>
      <c r="R55" s="37" t="n">
        <f aca="false">Q55/$P55</f>
        <v>0.236544550361047</v>
      </c>
      <c r="S55" s="36" t="n">
        <f aca="false">SUM(S51:S54)</f>
        <v>42437.66</v>
      </c>
      <c r="T55" s="37" t="n">
        <f aca="false">S55/$P55</f>
        <v>0.449985261215791</v>
      </c>
      <c r="U55" s="36" t="n">
        <f aca="false">SUM(U51:U54)</f>
        <v>63407.98</v>
      </c>
      <c r="V55" s="37" t="n">
        <f aca="false">U55/$P55</f>
        <v>0.672342830482775</v>
      </c>
      <c r="W55" s="36" t="n">
        <f aca="false">SUM(W51:W54)</f>
        <v>92959</v>
      </c>
      <c r="X55" s="37" t="n">
        <f aca="false">W55/$P55</f>
        <v>0.985685353465735</v>
      </c>
      <c r="Y55" s="36" t="n">
        <f aca="false">SUM(Y51:Y54)</f>
        <v>86974</v>
      </c>
      <c r="Z55" s="36" t="n">
        <f aca="false">SUM(Z51:Z54)</f>
        <v>89385</v>
      </c>
    </row>
    <row r="56" customFormat="false" ht="13.9" hidden="false" customHeight="true" outlineLevel="0" collapsed="false">
      <c r="A56" s="1" t="n">
        <v>1</v>
      </c>
      <c r="B56" s="1" t="n">
        <v>1</v>
      </c>
      <c r="C56" s="1" t="n">
        <v>2</v>
      </c>
      <c r="D56" s="10" t="s">
        <v>126</v>
      </c>
      <c r="E56" s="10" t="n">
        <v>640</v>
      </c>
      <c r="F56" s="10" t="s">
        <v>130</v>
      </c>
      <c r="G56" s="11" t="n">
        <v>549.33</v>
      </c>
      <c r="H56" s="11" t="n">
        <v>550.55</v>
      </c>
      <c r="I56" s="11" t="n">
        <v>551</v>
      </c>
      <c r="J56" s="11" t="n">
        <v>642.51</v>
      </c>
      <c r="K56" s="11" t="n">
        <v>643</v>
      </c>
      <c r="L56" s="11"/>
      <c r="M56" s="11"/>
      <c r="N56" s="11"/>
      <c r="O56" s="11" t="n">
        <v>45</v>
      </c>
      <c r="P56" s="11" t="n">
        <f aca="false">K56+SUM(L56:O56)</f>
        <v>688</v>
      </c>
      <c r="Q56" s="11" t="n">
        <v>0</v>
      </c>
      <c r="R56" s="12" t="n">
        <f aca="false">Q56/$P56</f>
        <v>0</v>
      </c>
      <c r="S56" s="11" t="n">
        <v>0</v>
      </c>
      <c r="T56" s="12" t="n">
        <f aca="false">S56/$P56</f>
        <v>0</v>
      </c>
      <c r="U56" s="11" t="n">
        <v>0</v>
      </c>
      <c r="V56" s="12" t="n">
        <f aca="false">U56/$P56</f>
        <v>0</v>
      </c>
      <c r="W56" s="11" t="n">
        <v>688.32</v>
      </c>
      <c r="X56" s="12" t="n">
        <f aca="false">W56/$P56</f>
        <v>1.00046511627907</v>
      </c>
      <c r="Y56" s="11" t="n">
        <f aca="false">K56</f>
        <v>643</v>
      </c>
      <c r="Z56" s="11" t="n">
        <f aca="false">Y56</f>
        <v>643</v>
      </c>
    </row>
    <row r="57" customFormat="false" ht="13.9" hidden="false" customHeight="true" outlineLevel="0" collapsed="false">
      <c r="A57" s="1" t="n">
        <v>1</v>
      </c>
      <c r="B57" s="1" t="n">
        <v>1</v>
      </c>
      <c r="C57" s="1" t="n">
        <v>2</v>
      </c>
      <c r="D57" s="75" t="s">
        <v>21</v>
      </c>
      <c r="E57" s="76" t="n">
        <v>72</v>
      </c>
      <c r="F57" s="35" t="s">
        <v>25</v>
      </c>
      <c r="G57" s="36" t="n">
        <f aca="false">SUM(G56)</f>
        <v>549.33</v>
      </c>
      <c r="H57" s="36" t="n">
        <f aca="false">SUM(H56)</f>
        <v>550.55</v>
      </c>
      <c r="I57" s="36" t="n">
        <f aca="false">SUM(I56)</f>
        <v>551</v>
      </c>
      <c r="J57" s="36" t="n">
        <f aca="false">SUM(J56)</f>
        <v>642.51</v>
      </c>
      <c r="K57" s="36" t="n">
        <f aca="false">SUM(K56)</f>
        <v>643</v>
      </c>
      <c r="L57" s="36" t="n">
        <f aca="false">SUM(L56)</f>
        <v>0</v>
      </c>
      <c r="M57" s="36" t="n">
        <f aca="false">SUM(M56)</f>
        <v>0</v>
      </c>
      <c r="N57" s="36" t="n">
        <f aca="false">SUM(N56)</f>
        <v>0</v>
      </c>
      <c r="O57" s="36" t="n">
        <f aca="false">SUM(O56)</f>
        <v>45</v>
      </c>
      <c r="P57" s="36" t="n">
        <f aca="false">SUM(P56)</f>
        <v>688</v>
      </c>
      <c r="Q57" s="36" t="n">
        <f aca="false">SUM(Q56)</f>
        <v>0</v>
      </c>
      <c r="R57" s="37" t="n">
        <f aca="false">Q57/$P57</f>
        <v>0</v>
      </c>
      <c r="S57" s="36" t="n">
        <f aca="false">SUM(S56)</f>
        <v>0</v>
      </c>
      <c r="T57" s="37" t="n">
        <f aca="false">S57/$P57</f>
        <v>0</v>
      </c>
      <c r="U57" s="36" t="n">
        <f aca="false">SUM(U56)</f>
        <v>0</v>
      </c>
      <c r="V57" s="37" t="n">
        <f aca="false">U57/$P57</f>
        <v>0</v>
      </c>
      <c r="W57" s="36" t="n">
        <f aca="false">SUM(W56)</f>
        <v>688.32</v>
      </c>
      <c r="X57" s="37" t="n">
        <f aca="false">W57/$P57</f>
        <v>1.00046511627907</v>
      </c>
      <c r="Y57" s="36" t="n">
        <f aca="false">SUM(Y56)</f>
        <v>643</v>
      </c>
      <c r="Z57" s="36" t="n">
        <f aca="false">SUM(Z56)</f>
        <v>643</v>
      </c>
    </row>
    <row r="58" customFormat="false" ht="13.9" hidden="false" customHeight="true" outlineLevel="0" collapsed="false">
      <c r="A58" s="1" t="n">
        <v>1</v>
      </c>
      <c r="B58" s="1" t="n">
        <v>1</v>
      </c>
      <c r="C58" s="1" t="n">
        <v>2</v>
      </c>
      <c r="D58" s="77"/>
      <c r="E58" s="78"/>
      <c r="F58" s="13" t="s">
        <v>122</v>
      </c>
      <c r="G58" s="14" t="n">
        <f aca="false">G50+G55+G57</f>
        <v>91203.93</v>
      </c>
      <c r="H58" s="14" t="n">
        <f aca="false">H50+H55+H57</f>
        <v>78327.18</v>
      </c>
      <c r="I58" s="14" t="n">
        <f aca="false">I50+I55+I57</f>
        <v>84303</v>
      </c>
      <c r="J58" s="14" t="n">
        <f aca="false">J50+J55+J57</f>
        <v>84017.79</v>
      </c>
      <c r="K58" s="14" t="n">
        <f aca="false">K50+K55+K57</f>
        <v>89337</v>
      </c>
      <c r="L58" s="14" t="n">
        <f aca="false">L50+L55+L57</f>
        <v>0</v>
      </c>
      <c r="M58" s="14" t="n">
        <f aca="false">M50+M55+M57</f>
        <v>8</v>
      </c>
      <c r="N58" s="14" t="n">
        <f aca="false">N50+N55+N57</f>
        <v>2696</v>
      </c>
      <c r="O58" s="14" t="n">
        <f aca="false">O50+O55+O57</f>
        <v>3274</v>
      </c>
      <c r="P58" s="14" t="n">
        <f aca="false">P50+P55+P57</f>
        <v>95315</v>
      </c>
      <c r="Q58" s="14" t="n">
        <f aca="false">Q50+Q55+Q57</f>
        <v>22308.28</v>
      </c>
      <c r="R58" s="15" t="n">
        <f aca="false">Q58/$P58</f>
        <v>0.234047946283376</v>
      </c>
      <c r="S58" s="14" t="n">
        <f aca="false">S50+S55+S57</f>
        <v>42437.66</v>
      </c>
      <c r="T58" s="15" t="n">
        <f aca="false">S58/$P58</f>
        <v>0.445235902009128</v>
      </c>
      <c r="U58" s="14" t="n">
        <f aca="false">U50+U55+U57</f>
        <v>63726.25</v>
      </c>
      <c r="V58" s="15" t="n">
        <f aca="false">U58/$P58</f>
        <v>0.668585742013324</v>
      </c>
      <c r="W58" s="14" t="n">
        <f aca="false">W50+W55+W57</f>
        <v>95315.09</v>
      </c>
      <c r="X58" s="15" t="n">
        <f aca="false">W58/$P58</f>
        <v>1.00000094423753</v>
      </c>
      <c r="Y58" s="14" t="n">
        <f aca="false">Y50+Y55+Y57</f>
        <v>87927</v>
      </c>
      <c r="Z58" s="14" t="n">
        <f aca="false">Z50+Z55+Z57</f>
        <v>90338</v>
      </c>
    </row>
    <row r="59" customFormat="false" ht="13.9" hidden="false" customHeight="true" outlineLevel="0" collapsed="false">
      <c r="D59" s="79"/>
      <c r="E59" s="31"/>
      <c r="F59" s="31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1"/>
      <c r="S59" s="80"/>
      <c r="T59" s="81"/>
      <c r="U59" s="80"/>
      <c r="V59" s="81"/>
      <c r="W59" s="80"/>
      <c r="X59" s="81"/>
      <c r="Y59" s="80"/>
      <c r="Z59" s="80"/>
    </row>
    <row r="60" customFormat="false" ht="13.9" hidden="false" customHeight="true" outlineLevel="0" collapsed="false">
      <c r="D60" s="60" t="s">
        <v>133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customFormat="false" ht="13.9" hidden="false" customHeight="true" outlineLevel="0" collapsed="false">
      <c r="D61" s="7" t="s">
        <v>33</v>
      </c>
      <c r="E61" s="7" t="s">
        <v>34</v>
      </c>
      <c r="F61" s="7" t="s">
        <v>35</v>
      </c>
      <c r="G61" s="7" t="s">
        <v>1</v>
      </c>
      <c r="H61" s="7" t="s">
        <v>2</v>
      </c>
      <c r="I61" s="7" t="s">
        <v>3</v>
      </c>
      <c r="J61" s="7" t="s">
        <v>4</v>
      </c>
      <c r="K61" s="7" t="s">
        <v>5</v>
      </c>
      <c r="L61" s="7" t="s">
        <v>6</v>
      </c>
      <c r="M61" s="7" t="s">
        <v>7</v>
      </c>
      <c r="N61" s="7" t="s">
        <v>8</v>
      </c>
      <c r="O61" s="7" t="s">
        <v>9</v>
      </c>
      <c r="P61" s="7" t="s">
        <v>10</v>
      </c>
      <c r="Q61" s="7" t="s">
        <v>11</v>
      </c>
      <c r="R61" s="8" t="s">
        <v>12</v>
      </c>
      <c r="S61" s="7" t="s">
        <v>13</v>
      </c>
      <c r="T61" s="8" t="s">
        <v>14</v>
      </c>
      <c r="U61" s="7" t="s">
        <v>15</v>
      </c>
      <c r="V61" s="8" t="s">
        <v>16</v>
      </c>
      <c r="W61" s="7" t="s">
        <v>17</v>
      </c>
      <c r="X61" s="8" t="s">
        <v>18</v>
      </c>
      <c r="Y61" s="7" t="s">
        <v>19</v>
      </c>
      <c r="Z61" s="7" t="s">
        <v>20</v>
      </c>
    </row>
    <row r="62" customFormat="false" ht="13.9" hidden="false" customHeight="true" outlineLevel="0" collapsed="false">
      <c r="A62" s="1" t="n">
        <v>1</v>
      </c>
      <c r="B62" s="1" t="n">
        <v>1</v>
      </c>
      <c r="C62" s="1" t="n">
        <v>3</v>
      </c>
      <c r="D62" s="74" t="s">
        <v>134</v>
      </c>
      <c r="E62" s="10" t="n">
        <v>610</v>
      </c>
      <c r="F62" s="10" t="s">
        <v>127</v>
      </c>
      <c r="G62" s="11" t="n">
        <v>4072</v>
      </c>
      <c r="H62" s="11" t="n">
        <v>4378</v>
      </c>
      <c r="I62" s="11" t="n">
        <v>4378</v>
      </c>
      <c r="J62" s="11" t="n">
        <v>4312.55</v>
      </c>
      <c r="K62" s="11" t="n">
        <v>6907</v>
      </c>
      <c r="L62" s="11"/>
      <c r="M62" s="11" t="n">
        <v>2838</v>
      </c>
      <c r="N62" s="11"/>
      <c r="O62" s="11" t="n">
        <v>-1631</v>
      </c>
      <c r="P62" s="33" t="n">
        <f aca="false">K62+SUM(L62:O62)</f>
        <v>8114</v>
      </c>
      <c r="Q62" s="33" t="n">
        <v>1195</v>
      </c>
      <c r="R62" s="34" t="n">
        <f aca="false">Q62/$P62</f>
        <v>0.147276312546216</v>
      </c>
      <c r="S62" s="33" t="n">
        <v>3230</v>
      </c>
      <c r="T62" s="34" t="n">
        <f aca="false">S62/$P62</f>
        <v>0.398077397091447</v>
      </c>
      <c r="U62" s="33" t="n">
        <v>5672</v>
      </c>
      <c r="V62" s="34" t="n">
        <f aca="false">U62/$P62</f>
        <v>0.699038698545723</v>
      </c>
      <c r="W62" s="33" t="n">
        <v>8114</v>
      </c>
      <c r="X62" s="34" t="n">
        <f aca="false">W62/$P62</f>
        <v>1</v>
      </c>
      <c r="Y62" s="11" t="n">
        <v>7114</v>
      </c>
      <c r="Z62" s="11" t="n">
        <v>7327</v>
      </c>
    </row>
    <row r="63" customFormat="false" ht="13.9" hidden="false" customHeight="true" outlineLevel="0" collapsed="false">
      <c r="A63" s="1" t="n">
        <v>1</v>
      </c>
      <c r="B63" s="1" t="n">
        <v>1</v>
      </c>
      <c r="C63" s="1" t="n">
        <v>3</v>
      </c>
      <c r="D63" s="74"/>
      <c r="E63" s="10" t="n">
        <v>620</v>
      </c>
      <c r="F63" s="10" t="s">
        <v>128</v>
      </c>
      <c r="G63" s="11" t="n">
        <v>1327.45</v>
      </c>
      <c r="H63" s="11" t="n">
        <v>1277.92</v>
      </c>
      <c r="I63" s="11" t="n">
        <v>1530</v>
      </c>
      <c r="J63" s="11" t="n">
        <v>1335.44</v>
      </c>
      <c r="K63" s="11" t="n">
        <v>2138</v>
      </c>
      <c r="L63" s="11" t="n">
        <v>18</v>
      </c>
      <c r="M63" s="11" t="n">
        <v>893</v>
      </c>
      <c r="N63" s="11"/>
      <c r="O63" s="11" t="n">
        <v>-503</v>
      </c>
      <c r="P63" s="33" t="n">
        <f aca="false">K63+SUM(L63:O63)</f>
        <v>2546</v>
      </c>
      <c r="Q63" s="33" t="n">
        <v>369.8</v>
      </c>
      <c r="R63" s="34" t="n">
        <f aca="false">Q63/$P63</f>
        <v>0.145247446975648</v>
      </c>
      <c r="S63" s="33" t="n">
        <v>1009.76</v>
      </c>
      <c r="T63" s="34" t="n">
        <f aca="false">S63/$P63</f>
        <v>0.396606441476826</v>
      </c>
      <c r="U63" s="33" t="n">
        <v>1777.73</v>
      </c>
      <c r="V63" s="34" t="n">
        <f aca="false">U63/$P63</f>
        <v>0.69824430479183</v>
      </c>
      <c r="W63" s="33" t="n">
        <v>2545.7</v>
      </c>
      <c r="X63" s="34" t="n">
        <f aca="false">W63/$P63</f>
        <v>0.999882168106834</v>
      </c>
      <c r="Y63" s="11" t="n">
        <v>2202</v>
      </c>
      <c r="Z63" s="11" t="n">
        <v>2269</v>
      </c>
    </row>
    <row r="64" customFormat="false" ht="13.9" hidden="false" customHeight="true" outlineLevel="0" collapsed="false">
      <c r="A64" s="1" t="n">
        <v>1</v>
      </c>
      <c r="B64" s="1" t="n">
        <v>1</v>
      </c>
      <c r="C64" s="1" t="n">
        <v>3</v>
      </c>
      <c r="D64" s="74"/>
      <c r="E64" s="10" t="n">
        <v>630</v>
      </c>
      <c r="F64" s="10" t="s">
        <v>129</v>
      </c>
      <c r="G64" s="11" t="n">
        <v>1312.44</v>
      </c>
      <c r="H64" s="11" t="n">
        <v>1759.03</v>
      </c>
      <c r="I64" s="11" t="n">
        <f aca="false">231+1561</f>
        <v>1792</v>
      </c>
      <c r="J64" s="11" t="n">
        <v>1762.28</v>
      </c>
      <c r="K64" s="11" t="n">
        <f aca="false">247+1545</f>
        <v>1792</v>
      </c>
      <c r="L64" s="11"/>
      <c r="M64" s="11"/>
      <c r="N64" s="11" t="n">
        <v>562</v>
      </c>
      <c r="O64" s="11" t="n">
        <v>54</v>
      </c>
      <c r="P64" s="33" t="n">
        <f aca="false">K64+SUM(L64:O64)</f>
        <v>2408</v>
      </c>
      <c r="Q64" s="33" t="n">
        <v>278.6</v>
      </c>
      <c r="R64" s="34" t="n">
        <f aca="false">Q64/$P64</f>
        <v>0.115697674418605</v>
      </c>
      <c r="S64" s="33" t="n">
        <v>391.25</v>
      </c>
      <c r="T64" s="34" t="n">
        <f aca="false">S64/$P64</f>
        <v>0.162479235880399</v>
      </c>
      <c r="U64" s="33" t="n">
        <v>663.38</v>
      </c>
      <c r="V64" s="34" t="n">
        <f aca="false">U64/$P64</f>
        <v>0.275490033222591</v>
      </c>
      <c r="W64" s="33" t="n">
        <v>2407.87</v>
      </c>
      <c r="X64" s="34" t="n">
        <f aca="false">W64/$P64</f>
        <v>0.999946013289037</v>
      </c>
      <c r="Y64" s="11" t="n">
        <f aca="false">249+1545</f>
        <v>1794</v>
      </c>
      <c r="Z64" s="11" t="n">
        <f aca="false">251+1545</f>
        <v>1796</v>
      </c>
    </row>
    <row r="65" customFormat="false" ht="13.9" hidden="false" customHeight="true" outlineLevel="0" collapsed="false">
      <c r="A65" s="1" t="n">
        <v>1</v>
      </c>
      <c r="B65" s="1" t="n">
        <v>1</v>
      </c>
      <c r="C65" s="1" t="n">
        <v>3</v>
      </c>
      <c r="D65" s="75" t="s">
        <v>21</v>
      </c>
      <c r="E65" s="35" t="n">
        <v>41</v>
      </c>
      <c r="F65" s="35" t="s">
        <v>23</v>
      </c>
      <c r="G65" s="36" t="n">
        <f aca="false">SUM(G62:G64)</f>
        <v>6711.89</v>
      </c>
      <c r="H65" s="36" t="n">
        <f aca="false">SUM(H62:H64)</f>
        <v>7414.95</v>
      </c>
      <c r="I65" s="36" t="n">
        <f aca="false">SUM(I62:I64)</f>
        <v>7700</v>
      </c>
      <c r="J65" s="36" t="n">
        <f aca="false">SUM(J62:J64)</f>
        <v>7410.27</v>
      </c>
      <c r="K65" s="36" t="n">
        <f aca="false">SUM(K62:K64)</f>
        <v>10837</v>
      </c>
      <c r="L65" s="36" t="n">
        <f aca="false">SUM(L62:L64)</f>
        <v>18</v>
      </c>
      <c r="M65" s="36" t="n">
        <f aca="false">SUM(M62:M64)</f>
        <v>3731</v>
      </c>
      <c r="N65" s="36" t="n">
        <f aca="false">SUM(N62:N64)</f>
        <v>562</v>
      </c>
      <c r="O65" s="36" t="n">
        <f aca="false">SUM(O62:O64)</f>
        <v>-2080</v>
      </c>
      <c r="P65" s="36" t="n">
        <f aca="false">SUM(P62:P64)</f>
        <v>13068</v>
      </c>
      <c r="Q65" s="36" t="n">
        <f aca="false">SUM(Q62:Q64)</f>
        <v>1843.4</v>
      </c>
      <c r="R65" s="37" t="n">
        <f aca="false">Q65/$P65</f>
        <v>0.141062136516682</v>
      </c>
      <c r="S65" s="36" t="n">
        <f aca="false">SUM(S62:S64)</f>
        <v>4631.01</v>
      </c>
      <c r="T65" s="37" t="n">
        <f aca="false">S65/$P65</f>
        <v>0.354377869605142</v>
      </c>
      <c r="U65" s="36" t="n">
        <f aca="false">SUM(U62:U64)</f>
        <v>8113.11</v>
      </c>
      <c r="V65" s="37" t="n">
        <f aca="false">U65/$P65</f>
        <v>0.620837924701561</v>
      </c>
      <c r="W65" s="36" t="n">
        <f aca="false">SUM(W62:W64)</f>
        <v>13067.57</v>
      </c>
      <c r="X65" s="37" t="n">
        <f aca="false">W65/$P65</f>
        <v>0.999967095194368</v>
      </c>
      <c r="Y65" s="36" t="n">
        <f aca="false">SUM(Y62:Y64)</f>
        <v>11110</v>
      </c>
      <c r="Z65" s="36" t="n">
        <f aca="false">SUM(Z62:Z64)</f>
        <v>11392</v>
      </c>
    </row>
    <row r="66" customFormat="false" ht="13.9" hidden="false" customHeight="true" outlineLevel="0" collapsed="false">
      <c r="A66" s="1" t="n">
        <v>2</v>
      </c>
      <c r="B66" s="1" t="n">
        <v>2</v>
      </c>
      <c r="C66" s="1" t="n">
        <v>4</v>
      </c>
      <c r="D66" s="68" t="s">
        <v>134</v>
      </c>
      <c r="E66" s="10" t="n">
        <v>640</v>
      </c>
      <c r="F66" s="10" t="s">
        <v>130</v>
      </c>
      <c r="G66" s="11" t="n">
        <v>26.12</v>
      </c>
      <c r="H66" s="11" t="n">
        <v>29.9</v>
      </c>
      <c r="I66" s="11" t="n">
        <v>30</v>
      </c>
      <c r="J66" s="11" t="n">
        <v>33.22</v>
      </c>
      <c r="K66" s="11" t="n">
        <v>33</v>
      </c>
      <c r="L66" s="11"/>
      <c r="M66" s="11"/>
      <c r="N66" s="11"/>
      <c r="O66" s="11" t="n">
        <v>33</v>
      </c>
      <c r="P66" s="11" t="n">
        <f aca="false">K66+SUM(L66:O66)</f>
        <v>66</v>
      </c>
      <c r="Q66" s="11" t="n">
        <v>0</v>
      </c>
      <c r="R66" s="12" t="n">
        <f aca="false">Q66/$P66</f>
        <v>0</v>
      </c>
      <c r="S66" s="11" t="n">
        <v>0</v>
      </c>
      <c r="T66" s="12" t="n">
        <f aca="false">S66/$P66</f>
        <v>0</v>
      </c>
      <c r="U66" s="11" t="n">
        <v>0</v>
      </c>
      <c r="V66" s="12" t="n">
        <f aca="false">U66/$P66</f>
        <v>0</v>
      </c>
      <c r="W66" s="11" t="n">
        <v>65.79</v>
      </c>
      <c r="X66" s="12" t="n">
        <f aca="false">W66/$P66</f>
        <v>0.996818181818182</v>
      </c>
      <c r="Y66" s="11" t="n">
        <f aca="false">K66</f>
        <v>33</v>
      </c>
      <c r="Z66" s="11" t="n">
        <f aca="false">Y66</f>
        <v>33</v>
      </c>
    </row>
    <row r="67" customFormat="false" ht="13.9" hidden="false" customHeight="true" outlineLevel="0" collapsed="false">
      <c r="A67" s="1" t="n">
        <v>3</v>
      </c>
      <c r="B67" s="1" t="n">
        <v>3</v>
      </c>
      <c r="C67" s="1" t="n">
        <v>5</v>
      </c>
      <c r="D67" s="75" t="s">
        <v>21</v>
      </c>
      <c r="E67" s="35" t="n">
        <v>72</v>
      </c>
      <c r="F67" s="35" t="s">
        <v>25</v>
      </c>
      <c r="G67" s="36" t="n">
        <f aca="false">SUM(G66:G66)</f>
        <v>26.12</v>
      </c>
      <c r="H67" s="36" t="n">
        <f aca="false">SUM(H66:H66)</f>
        <v>29.9</v>
      </c>
      <c r="I67" s="36" t="n">
        <f aca="false">SUM(I66:I66)</f>
        <v>30</v>
      </c>
      <c r="J67" s="36" t="n">
        <f aca="false">SUM(J66:J66)</f>
        <v>33.22</v>
      </c>
      <c r="K67" s="36" t="n">
        <f aca="false">SUM(K66:K66)</f>
        <v>33</v>
      </c>
      <c r="L67" s="36" t="n">
        <f aca="false">SUM(L66:L66)</f>
        <v>0</v>
      </c>
      <c r="M67" s="36" t="n">
        <f aca="false">SUM(M66:M66)</f>
        <v>0</v>
      </c>
      <c r="N67" s="36" t="n">
        <f aca="false">SUM(N66:N66)</f>
        <v>0</v>
      </c>
      <c r="O67" s="36" t="n">
        <f aca="false">SUM(O66:O66)</f>
        <v>33</v>
      </c>
      <c r="P67" s="36" t="n">
        <f aca="false">SUM(P66:P66)</f>
        <v>66</v>
      </c>
      <c r="Q67" s="36" t="n">
        <f aca="false">SUM(Q66:Q66)</f>
        <v>0</v>
      </c>
      <c r="R67" s="37" t="n">
        <f aca="false">Q67/$P67</f>
        <v>0</v>
      </c>
      <c r="S67" s="36" t="n">
        <f aca="false">SUM(S66:S66)</f>
        <v>0</v>
      </c>
      <c r="T67" s="37" t="n">
        <f aca="false">S67/$P67</f>
        <v>0</v>
      </c>
      <c r="U67" s="36" t="n">
        <f aca="false">SUM(U66:U66)</f>
        <v>0</v>
      </c>
      <c r="V67" s="37" t="n">
        <f aca="false">U67/$P67</f>
        <v>0</v>
      </c>
      <c r="W67" s="36" t="n">
        <f aca="false">SUM(W66:W66)</f>
        <v>65.79</v>
      </c>
      <c r="X67" s="37" t="n">
        <f aca="false">W67/$P67</f>
        <v>0.996818181818182</v>
      </c>
      <c r="Y67" s="36" t="n">
        <f aca="false">SUM(Y66:Y66)</f>
        <v>33</v>
      </c>
      <c r="Z67" s="36" t="n">
        <f aca="false">SUM(Z66:Z66)</f>
        <v>33</v>
      </c>
    </row>
    <row r="68" customFormat="false" ht="13.9" hidden="false" customHeight="true" outlineLevel="0" collapsed="false">
      <c r="A68" s="1" t="n">
        <v>4</v>
      </c>
      <c r="B68" s="1" t="n">
        <v>4</v>
      </c>
      <c r="C68" s="1" t="n">
        <v>6</v>
      </c>
      <c r="D68" s="77"/>
      <c r="E68" s="78"/>
      <c r="F68" s="13" t="s">
        <v>122</v>
      </c>
      <c r="G68" s="14" t="n">
        <f aca="false">G65+G67</f>
        <v>6738.01</v>
      </c>
      <c r="H68" s="14" t="n">
        <f aca="false">H65+H67</f>
        <v>7444.85</v>
      </c>
      <c r="I68" s="14" t="n">
        <f aca="false">I65+I67</f>
        <v>7730</v>
      </c>
      <c r="J68" s="14" t="n">
        <f aca="false">J65+J67</f>
        <v>7443.49</v>
      </c>
      <c r="K68" s="14" t="n">
        <f aca="false">K65+K67</f>
        <v>10870</v>
      </c>
      <c r="L68" s="14" t="n">
        <f aca="false">L65+L67</f>
        <v>18</v>
      </c>
      <c r="M68" s="14" t="n">
        <f aca="false">M65+M67</f>
        <v>3731</v>
      </c>
      <c r="N68" s="14" t="n">
        <f aca="false">N65+N67</f>
        <v>562</v>
      </c>
      <c r="O68" s="14" t="n">
        <f aca="false">O65+O67</f>
        <v>-2047</v>
      </c>
      <c r="P68" s="14" t="n">
        <f aca="false">P65+P67</f>
        <v>13134</v>
      </c>
      <c r="Q68" s="14" t="n">
        <f aca="false">Q65+Q67</f>
        <v>1843.4</v>
      </c>
      <c r="R68" s="15" t="n">
        <f aca="false">Q68/$P68</f>
        <v>0.140353281559312</v>
      </c>
      <c r="S68" s="14" t="n">
        <f aca="false">S65+S67</f>
        <v>4631.01</v>
      </c>
      <c r="T68" s="15" t="n">
        <f aca="false">S68/$P68</f>
        <v>0.352597076290544</v>
      </c>
      <c r="U68" s="14" t="n">
        <f aca="false">U65+U67</f>
        <v>8113.11</v>
      </c>
      <c r="V68" s="15" t="n">
        <f aca="false">U68/$P68</f>
        <v>0.617718136135222</v>
      </c>
      <c r="W68" s="14" t="n">
        <f aca="false">W65+W67</f>
        <v>13133.36</v>
      </c>
      <c r="X68" s="15" t="n">
        <f aca="false">W68/$P68</f>
        <v>0.999951271509061</v>
      </c>
      <c r="Y68" s="14" t="n">
        <f aca="false">Y65+Y67</f>
        <v>11143</v>
      </c>
      <c r="Z68" s="14" t="n">
        <f aca="false">Z65+Z67</f>
        <v>11425</v>
      </c>
    </row>
    <row r="69" customFormat="false" ht="13.9" hidden="false" customHeight="true" outlineLevel="0" collapsed="false">
      <c r="D69" s="79"/>
      <c r="E69" s="31"/>
      <c r="F69" s="31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1"/>
      <c r="S69" s="80"/>
      <c r="T69" s="81"/>
      <c r="U69" s="80"/>
      <c r="V69" s="81"/>
      <c r="W69" s="80"/>
      <c r="X69" s="81"/>
      <c r="Y69" s="80"/>
      <c r="Z69" s="80"/>
    </row>
    <row r="70" customFormat="false" ht="13.9" hidden="false" customHeight="true" outlineLevel="0" collapsed="false">
      <c r="D70" s="60" t="s">
        <v>135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</row>
    <row r="71" customFormat="false" ht="13.9" hidden="false" customHeight="true" outlineLevel="0" collapsed="false">
      <c r="D71" s="7" t="s">
        <v>33</v>
      </c>
      <c r="E71" s="7" t="s">
        <v>34</v>
      </c>
      <c r="F71" s="7" t="s">
        <v>35</v>
      </c>
      <c r="G71" s="7" t="s">
        <v>1</v>
      </c>
      <c r="H71" s="7" t="s">
        <v>2</v>
      </c>
      <c r="I71" s="7" t="s">
        <v>3</v>
      </c>
      <c r="J71" s="7" t="s">
        <v>4</v>
      </c>
      <c r="K71" s="7" t="s">
        <v>5</v>
      </c>
      <c r="L71" s="7" t="s">
        <v>6</v>
      </c>
      <c r="M71" s="7" t="s">
        <v>7</v>
      </c>
      <c r="N71" s="7" t="s">
        <v>8</v>
      </c>
      <c r="O71" s="7" t="s">
        <v>9</v>
      </c>
      <c r="P71" s="7" t="s">
        <v>10</v>
      </c>
      <c r="Q71" s="7" t="s">
        <v>11</v>
      </c>
      <c r="R71" s="8" t="s">
        <v>12</v>
      </c>
      <c r="S71" s="7" t="s">
        <v>13</v>
      </c>
      <c r="T71" s="8" t="s">
        <v>14</v>
      </c>
      <c r="U71" s="7" t="s">
        <v>15</v>
      </c>
      <c r="V71" s="8" t="s">
        <v>16</v>
      </c>
      <c r="W71" s="7" t="s">
        <v>17</v>
      </c>
      <c r="X71" s="8" t="s">
        <v>18</v>
      </c>
      <c r="Y71" s="7" t="s">
        <v>19</v>
      </c>
      <c r="Z71" s="7" t="s">
        <v>20</v>
      </c>
    </row>
    <row r="72" customFormat="false" ht="13.9" hidden="true" customHeight="true" outlineLevel="0" collapsed="false">
      <c r="A72" s="1" t="n">
        <v>1</v>
      </c>
      <c r="B72" s="1" t="n">
        <v>1</v>
      </c>
      <c r="C72" s="1" t="n">
        <v>4</v>
      </c>
      <c r="D72" s="10" t="s">
        <v>126</v>
      </c>
      <c r="E72" s="10" t="n">
        <v>630</v>
      </c>
      <c r="F72" s="10" t="s">
        <v>129</v>
      </c>
      <c r="G72" s="11" t="n">
        <v>0</v>
      </c>
      <c r="H72" s="11" t="n">
        <v>0</v>
      </c>
      <c r="I72" s="11" t="n">
        <v>0</v>
      </c>
      <c r="J72" s="11" t="n">
        <v>0</v>
      </c>
      <c r="K72" s="11" t="n">
        <v>0</v>
      </c>
      <c r="L72" s="11"/>
      <c r="M72" s="11"/>
      <c r="N72" s="11"/>
      <c r="O72" s="11"/>
      <c r="P72" s="11" t="n">
        <f aca="false">K72+SUM(L72:O72)</f>
        <v>0</v>
      </c>
      <c r="Q72" s="11"/>
      <c r="R72" s="12" t="e">
        <f aca="false">Q72/$P72</f>
        <v>#DIV/0!</v>
      </c>
      <c r="S72" s="11"/>
      <c r="T72" s="12" t="e">
        <f aca="false">S72/$P72</f>
        <v>#DIV/0!</v>
      </c>
      <c r="U72" s="11"/>
      <c r="V72" s="12" t="e">
        <f aca="false">U72/$P72</f>
        <v>#DIV/0!</v>
      </c>
      <c r="W72" s="11"/>
      <c r="X72" s="12" t="e">
        <f aca="false">W72/$P72</f>
        <v>#DIV/0!</v>
      </c>
      <c r="Y72" s="11" t="n">
        <f aca="false">K72</f>
        <v>0</v>
      </c>
      <c r="Z72" s="11" t="n">
        <f aca="false">Y72</f>
        <v>0</v>
      </c>
    </row>
    <row r="73" customFormat="false" ht="13.9" hidden="true" customHeight="true" outlineLevel="0" collapsed="false">
      <c r="A73" s="1" t="n">
        <v>1</v>
      </c>
      <c r="B73" s="1" t="n">
        <v>1</v>
      </c>
      <c r="C73" s="1" t="n">
        <v>4</v>
      </c>
      <c r="D73" s="75" t="s">
        <v>21</v>
      </c>
      <c r="E73" s="76" t="s">
        <v>136</v>
      </c>
      <c r="F73" s="35" t="s">
        <v>132</v>
      </c>
      <c r="G73" s="36" t="n">
        <f aca="false">SUM(G72)</f>
        <v>0</v>
      </c>
      <c r="H73" s="36" t="n">
        <f aca="false">SUM(H72)</f>
        <v>0</v>
      </c>
      <c r="I73" s="36" t="n">
        <f aca="false">SUM(I72)</f>
        <v>0</v>
      </c>
      <c r="J73" s="36" t="n">
        <f aca="false">SUM(J72)</f>
        <v>0</v>
      </c>
      <c r="K73" s="36" t="n">
        <f aca="false">SUM(K72)</f>
        <v>0</v>
      </c>
      <c r="L73" s="36" t="n">
        <f aca="false">SUM(L72)</f>
        <v>0</v>
      </c>
      <c r="M73" s="36" t="n">
        <f aca="false">SUM(M72)</f>
        <v>0</v>
      </c>
      <c r="N73" s="36" t="n">
        <f aca="false">SUM(N72)</f>
        <v>0</v>
      </c>
      <c r="O73" s="36" t="n">
        <f aca="false">SUM(O72)</f>
        <v>0</v>
      </c>
      <c r="P73" s="36" t="n">
        <f aca="false">SUM(P72)</f>
        <v>0</v>
      </c>
      <c r="Q73" s="36" t="n">
        <f aca="false">SUM(Q72)</f>
        <v>0</v>
      </c>
      <c r="R73" s="37" t="e">
        <f aca="false">Q73/$P73</f>
        <v>#DIV/0!</v>
      </c>
      <c r="S73" s="36" t="n">
        <f aca="false">SUM(S72)</f>
        <v>0</v>
      </c>
      <c r="T73" s="37" t="e">
        <f aca="false">S73/$P73</f>
        <v>#DIV/0!</v>
      </c>
      <c r="U73" s="36" t="n">
        <f aca="false">SUM(U72)</f>
        <v>0</v>
      </c>
      <c r="V73" s="37" t="e">
        <f aca="false">U73/$P73</f>
        <v>#DIV/0!</v>
      </c>
      <c r="W73" s="36" t="n">
        <f aca="false">SUM(W72)</f>
        <v>0</v>
      </c>
      <c r="X73" s="37" t="e">
        <f aca="false">W73/$P73</f>
        <v>#DIV/0!</v>
      </c>
      <c r="Y73" s="36" t="n">
        <f aca="false">SUM(Y72)</f>
        <v>0</v>
      </c>
      <c r="Z73" s="36" t="n">
        <f aca="false">SUM(Z72)</f>
        <v>0</v>
      </c>
    </row>
    <row r="74" customFormat="false" ht="13.9" hidden="false" customHeight="true" outlineLevel="0" collapsed="false">
      <c r="A74" s="1" t="n">
        <v>1</v>
      </c>
      <c r="B74" s="1" t="n">
        <v>1</v>
      </c>
      <c r="C74" s="1" t="n">
        <v>4</v>
      </c>
      <c r="D74" s="74" t="s">
        <v>126</v>
      </c>
      <c r="E74" s="10" t="n">
        <v>630</v>
      </c>
      <c r="F74" s="10" t="s">
        <v>129</v>
      </c>
      <c r="G74" s="11" t="n">
        <v>16263</v>
      </c>
      <c r="H74" s="11" t="n">
        <v>14593.72</v>
      </c>
      <c r="I74" s="11" t="n">
        <v>12108</v>
      </c>
      <c r="J74" s="11" t="n">
        <v>18623.48</v>
      </c>
      <c r="K74" s="11" t="n">
        <v>14236</v>
      </c>
      <c r="L74" s="11"/>
      <c r="M74" s="11" t="n">
        <v>1109</v>
      </c>
      <c r="N74" s="11"/>
      <c r="O74" s="11" t="n">
        <f aca="false">-406-16</f>
        <v>-422</v>
      </c>
      <c r="P74" s="11" t="n">
        <f aca="false">K74+SUM(L74:O74)</f>
        <v>14923</v>
      </c>
      <c r="Q74" s="11" t="n">
        <v>4230.23</v>
      </c>
      <c r="R74" s="12" t="n">
        <f aca="false">Q74/$P74</f>
        <v>0.283470481806607</v>
      </c>
      <c r="S74" s="11" t="n">
        <v>6892.04</v>
      </c>
      <c r="T74" s="12" t="n">
        <f aca="false">S74/$P74</f>
        <v>0.4618401125779</v>
      </c>
      <c r="U74" s="11" t="n">
        <v>9899.15</v>
      </c>
      <c r="V74" s="12" t="n">
        <f aca="false">U74/$P74</f>
        <v>0.663348522415064</v>
      </c>
      <c r="W74" s="11" t="n">
        <v>14039.46</v>
      </c>
      <c r="X74" s="12" t="n">
        <f aca="false">W74/$P74</f>
        <v>0.940793406151578</v>
      </c>
      <c r="Y74" s="11" t="n">
        <f aca="false">K74</f>
        <v>14236</v>
      </c>
      <c r="Z74" s="11" t="n">
        <f aca="false">Y74</f>
        <v>14236</v>
      </c>
    </row>
    <row r="75" customFormat="false" ht="13.9" hidden="false" customHeight="true" outlineLevel="0" collapsed="false">
      <c r="D75" s="74"/>
      <c r="E75" s="10" t="n">
        <v>640</v>
      </c>
      <c r="F75" s="10" t="s">
        <v>130</v>
      </c>
      <c r="G75" s="11" t="n">
        <v>0</v>
      </c>
      <c r="H75" s="11" t="n">
        <v>0</v>
      </c>
      <c r="I75" s="11" t="n">
        <v>0</v>
      </c>
      <c r="J75" s="11" t="n">
        <v>0</v>
      </c>
      <c r="K75" s="11" t="n">
        <v>0</v>
      </c>
      <c r="L75" s="11" t="n">
        <v>259</v>
      </c>
      <c r="M75" s="11"/>
      <c r="N75" s="11"/>
      <c r="O75" s="11"/>
      <c r="P75" s="11" t="n">
        <f aca="false">K75+SUM(L75:O75)</f>
        <v>259</v>
      </c>
      <c r="Q75" s="11" t="n">
        <v>258.5</v>
      </c>
      <c r="R75" s="12" t="n">
        <f aca="false">Q75/$P75</f>
        <v>0.998069498069498</v>
      </c>
      <c r="S75" s="11" t="n">
        <v>258.5</v>
      </c>
      <c r="T75" s="12" t="n">
        <f aca="false">S75/$P75</f>
        <v>0.998069498069498</v>
      </c>
      <c r="U75" s="11" t="n">
        <v>258.5</v>
      </c>
      <c r="V75" s="12" t="n">
        <f aca="false">U75/$P75</f>
        <v>0.998069498069498</v>
      </c>
      <c r="W75" s="11" t="n">
        <v>258.5</v>
      </c>
      <c r="X75" s="12" t="n">
        <f aca="false">W75/$P75</f>
        <v>0.998069498069498</v>
      </c>
      <c r="Y75" s="11" t="n">
        <f aca="false">K75</f>
        <v>0</v>
      </c>
      <c r="Z75" s="11" t="n">
        <f aca="false">Y75</f>
        <v>0</v>
      </c>
    </row>
    <row r="76" customFormat="false" ht="13.9" hidden="false" customHeight="true" outlineLevel="0" collapsed="false">
      <c r="A76" s="1" t="n">
        <v>1</v>
      </c>
      <c r="B76" s="1" t="n">
        <v>1</v>
      </c>
      <c r="C76" s="1" t="n">
        <v>4</v>
      </c>
      <c r="D76" s="38" t="s">
        <v>134</v>
      </c>
      <c r="E76" s="10" t="n">
        <v>630</v>
      </c>
      <c r="F76" s="10" t="s">
        <v>137</v>
      </c>
      <c r="G76" s="11" t="n">
        <v>441.63</v>
      </c>
      <c r="H76" s="11" t="n">
        <v>209.4</v>
      </c>
      <c r="I76" s="11" t="n">
        <v>186</v>
      </c>
      <c r="J76" s="11" t="n">
        <v>138.11</v>
      </c>
      <c r="K76" s="11" t="n">
        <v>140</v>
      </c>
      <c r="L76" s="11"/>
      <c r="M76" s="11"/>
      <c r="N76" s="11"/>
      <c r="O76" s="11" t="n">
        <f aca="false">96+16</f>
        <v>112</v>
      </c>
      <c r="P76" s="11" t="n">
        <f aca="false">K76+SUM(L76:O76)</f>
        <v>252</v>
      </c>
      <c r="Q76" s="11" t="n">
        <v>33.8</v>
      </c>
      <c r="R76" s="12" t="n">
        <f aca="false">Q76/$P76</f>
        <v>0.134126984126984</v>
      </c>
      <c r="S76" s="11" t="n">
        <v>71.9</v>
      </c>
      <c r="T76" s="12" t="n">
        <f aca="false">S76/$P76</f>
        <v>0.28531746031746</v>
      </c>
      <c r="U76" s="11" t="n">
        <v>113.5</v>
      </c>
      <c r="V76" s="12" t="n">
        <f aca="false">U76/$P76</f>
        <v>0.450396825396825</v>
      </c>
      <c r="W76" s="11" t="n">
        <v>251.79</v>
      </c>
      <c r="X76" s="12" t="n">
        <f aca="false">W76/$P76</f>
        <v>0.999166666666667</v>
      </c>
      <c r="Y76" s="11" t="n">
        <f aca="false">K76</f>
        <v>140</v>
      </c>
      <c r="Z76" s="11" t="n">
        <f aca="false">Y76</f>
        <v>140</v>
      </c>
    </row>
    <row r="77" customFormat="false" ht="13.9" hidden="false" customHeight="true" outlineLevel="0" collapsed="false">
      <c r="A77" s="1" t="n">
        <v>1</v>
      </c>
      <c r="B77" s="1" t="n">
        <v>1</v>
      </c>
      <c r="C77" s="1" t="n">
        <v>4</v>
      </c>
      <c r="D77" s="75" t="s">
        <v>21</v>
      </c>
      <c r="E77" s="35" t="n">
        <v>41</v>
      </c>
      <c r="F77" s="35" t="s">
        <v>23</v>
      </c>
      <c r="G77" s="36" t="n">
        <f aca="false">SUM(G74:G76)</f>
        <v>16704.63</v>
      </c>
      <c r="H77" s="36" t="n">
        <f aca="false">SUM(H74:H76)</f>
        <v>14803.12</v>
      </c>
      <c r="I77" s="36" t="n">
        <f aca="false">SUM(I74:I76)</f>
        <v>12294</v>
      </c>
      <c r="J77" s="36" t="n">
        <f aca="false">SUM(J74:J76)</f>
        <v>18761.59</v>
      </c>
      <c r="K77" s="36" t="n">
        <f aca="false">SUM(K74:K76)</f>
        <v>14376</v>
      </c>
      <c r="L77" s="36" t="n">
        <f aca="false">SUM(L74:L76)</f>
        <v>259</v>
      </c>
      <c r="M77" s="36" t="n">
        <f aca="false">SUM(M74:M76)</f>
        <v>1109</v>
      </c>
      <c r="N77" s="36" t="n">
        <f aca="false">SUM(N74:N76)</f>
        <v>0</v>
      </c>
      <c r="O77" s="36" t="n">
        <f aca="false">SUM(O74:O76)</f>
        <v>-310</v>
      </c>
      <c r="P77" s="36" t="n">
        <f aca="false">SUM(P74:P76)</f>
        <v>15434</v>
      </c>
      <c r="Q77" s="36" t="n">
        <f aca="false">SUM(Q74:Q76)</f>
        <v>4522.53</v>
      </c>
      <c r="R77" s="37" t="n">
        <f aca="false">Q77/$P77</f>
        <v>0.293023843462485</v>
      </c>
      <c r="S77" s="36" t="n">
        <f aca="false">SUM(S74:S76)</f>
        <v>7222.44</v>
      </c>
      <c r="T77" s="37" t="n">
        <f aca="false">S77/$P77</f>
        <v>0.467956459764157</v>
      </c>
      <c r="U77" s="36" t="n">
        <f aca="false">SUM(U74:U76)</f>
        <v>10271.15</v>
      </c>
      <c r="V77" s="37" t="n">
        <f aca="false">U77/$P77</f>
        <v>0.665488531812881</v>
      </c>
      <c r="W77" s="36" t="n">
        <f aca="false">SUM(W74:W76)</f>
        <v>14549.75</v>
      </c>
      <c r="X77" s="37" t="n">
        <f aca="false">W77/$P77</f>
        <v>0.942707658416483</v>
      </c>
      <c r="Y77" s="36" t="n">
        <f aca="false">SUM(Y74:Y76)</f>
        <v>14376</v>
      </c>
      <c r="Z77" s="36" t="n">
        <f aca="false">SUM(Z74:Z76)</f>
        <v>14376</v>
      </c>
    </row>
    <row r="78" customFormat="false" ht="13.9" hidden="false" customHeight="true" outlineLevel="0" collapsed="false">
      <c r="A78" s="1" t="n">
        <v>1</v>
      </c>
      <c r="B78" s="1" t="n">
        <v>1</v>
      </c>
      <c r="C78" s="1" t="n">
        <v>4</v>
      </c>
      <c r="D78" s="77"/>
      <c r="E78" s="78"/>
      <c r="F78" s="13" t="s">
        <v>122</v>
      </c>
      <c r="G78" s="14" t="n">
        <f aca="false">G73+G77</f>
        <v>16704.63</v>
      </c>
      <c r="H78" s="14" t="n">
        <f aca="false">H73+H77</f>
        <v>14803.12</v>
      </c>
      <c r="I78" s="14" t="n">
        <f aca="false">I73+I77</f>
        <v>12294</v>
      </c>
      <c r="J78" s="14" t="n">
        <f aca="false">J73+J77</f>
        <v>18761.59</v>
      </c>
      <c r="K78" s="14" t="n">
        <f aca="false">K73+K77</f>
        <v>14376</v>
      </c>
      <c r="L78" s="14" t="n">
        <f aca="false">L73+L77</f>
        <v>259</v>
      </c>
      <c r="M78" s="14" t="n">
        <f aca="false">M73+M77</f>
        <v>1109</v>
      </c>
      <c r="N78" s="14" t="n">
        <f aca="false">N73+N77</f>
        <v>0</v>
      </c>
      <c r="O78" s="14" t="n">
        <f aca="false">O73+O77</f>
        <v>-310</v>
      </c>
      <c r="P78" s="14" t="n">
        <f aca="false">P73+P77</f>
        <v>15434</v>
      </c>
      <c r="Q78" s="14" t="n">
        <f aca="false">Q73+Q77</f>
        <v>4522.53</v>
      </c>
      <c r="R78" s="15" t="n">
        <f aca="false">Q78/$P78</f>
        <v>0.293023843462485</v>
      </c>
      <c r="S78" s="14" t="n">
        <f aca="false">S73+S77</f>
        <v>7222.44</v>
      </c>
      <c r="T78" s="15" t="n">
        <f aca="false">S78/$P78</f>
        <v>0.467956459764157</v>
      </c>
      <c r="U78" s="14" t="n">
        <f aca="false">U73+U77</f>
        <v>10271.15</v>
      </c>
      <c r="V78" s="15" t="n">
        <f aca="false">U78/$P78</f>
        <v>0.665488531812881</v>
      </c>
      <c r="W78" s="14" t="n">
        <f aca="false">W73+W77</f>
        <v>14549.75</v>
      </c>
      <c r="X78" s="15" t="n">
        <f aca="false">W78/$P78</f>
        <v>0.942707658416483</v>
      </c>
      <c r="Y78" s="14" t="n">
        <f aca="false">Y73+Y77</f>
        <v>14376</v>
      </c>
      <c r="Z78" s="14" t="n">
        <f aca="false">Z73+Z77</f>
        <v>14376</v>
      </c>
    </row>
    <row r="79" customFormat="false" ht="13.9" hidden="false" customHeight="true" outlineLevel="0" collapsed="false">
      <c r="D79" s="79"/>
      <c r="E79" s="31"/>
      <c r="F79" s="31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1"/>
      <c r="S79" s="80"/>
      <c r="T79" s="81"/>
      <c r="U79" s="80"/>
      <c r="V79" s="81"/>
      <c r="W79" s="80"/>
      <c r="X79" s="81"/>
      <c r="Y79" s="80"/>
      <c r="Z79" s="80"/>
    </row>
    <row r="80" customFormat="false" ht="13.9" hidden="false" customHeight="true" outlineLevel="0" collapsed="false">
      <c r="D80" s="79"/>
      <c r="E80" s="39" t="s">
        <v>57</v>
      </c>
      <c r="F80" s="17" t="s">
        <v>138</v>
      </c>
      <c r="G80" s="82" t="n">
        <v>2617.15</v>
      </c>
      <c r="H80" s="40" t="n">
        <v>2486.7</v>
      </c>
      <c r="I80" s="40" t="n">
        <v>2490</v>
      </c>
      <c r="J80" s="40" t="n">
        <v>2597.35</v>
      </c>
      <c r="K80" s="40" t="n">
        <v>2600</v>
      </c>
      <c r="L80" s="40"/>
      <c r="M80" s="40"/>
      <c r="N80" s="40"/>
      <c r="O80" s="40" t="n">
        <v>16</v>
      </c>
      <c r="P80" s="40" t="n">
        <f aca="false">K80+SUM(L80:O80)</f>
        <v>2616</v>
      </c>
      <c r="Q80" s="40" t="n">
        <v>446.95</v>
      </c>
      <c r="R80" s="41" t="n">
        <f aca="false">Q80/$P80</f>
        <v>0.17085244648318</v>
      </c>
      <c r="S80" s="40" t="n">
        <v>857.95</v>
      </c>
      <c r="T80" s="41" t="n">
        <f aca="false">S80/$P80</f>
        <v>0.3279625382263</v>
      </c>
      <c r="U80" s="40" t="n">
        <v>1526.7</v>
      </c>
      <c r="V80" s="41" t="n">
        <f aca="false">U80/$P80</f>
        <v>0.583600917431193</v>
      </c>
      <c r="W80" s="40" t="n">
        <v>2615.95</v>
      </c>
      <c r="X80" s="42" t="n">
        <f aca="false">W80/$P80</f>
        <v>0.999980886850153</v>
      </c>
      <c r="Y80" s="40" t="n">
        <f aca="false">K80</f>
        <v>2600</v>
      </c>
      <c r="Z80" s="43" t="n">
        <f aca="false">Y80</f>
        <v>2600</v>
      </c>
    </row>
    <row r="81" customFormat="false" ht="13.9" hidden="false" customHeight="true" outlineLevel="0" collapsed="false">
      <c r="D81" s="79"/>
      <c r="E81" s="44"/>
      <c r="F81" s="83" t="s">
        <v>139</v>
      </c>
      <c r="G81" s="70" t="n">
        <v>1388</v>
      </c>
      <c r="H81" s="84" t="n">
        <v>1844.33</v>
      </c>
      <c r="I81" s="84" t="n">
        <v>1844</v>
      </c>
      <c r="J81" s="84" t="n">
        <v>7331.48</v>
      </c>
      <c r="K81" s="84" t="n">
        <v>2000</v>
      </c>
      <c r="L81" s="84"/>
      <c r="M81" s="84"/>
      <c r="N81" s="84" t="n">
        <v>-820</v>
      </c>
      <c r="O81" s="84" t="n">
        <v>-200</v>
      </c>
      <c r="P81" s="84" t="n">
        <f aca="false">K81+SUM(L81:O81)</f>
        <v>980</v>
      </c>
      <c r="Q81" s="84" t="n">
        <v>360</v>
      </c>
      <c r="R81" s="85" t="n">
        <f aca="false">Q81/$P81</f>
        <v>0.36734693877551</v>
      </c>
      <c r="S81" s="84" t="n">
        <v>720</v>
      </c>
      <c r="T81" s="85" t="n">
        <f aca="false">S81/$P81</f>
        <v>0.73469387755102</v>
      </c>
      <c r="U81" s="84" t="n">
        <v>792</v>
      </c>
      <c r="V81" s="85" t="n">
        <f aca="false">U81/$P81</f>
        <v>0.808163265306123</v>
      </c>
      <c r="W81" s="84" t="n">
        <v>913.96</v>
      </c>
      <c r="X81" s="51" t="n">
        <f aca="false">W81/$P81</f>
        <v>0.932612244897959</v>
      </c>
      <c r="Y81" s="70" t="n">
        <f aca="false">K81</f>
        <v>2000</v>
      </c>
      <c r="Z81" s="48" t="n">
        <f aca="false">Y81</f>
        <v>2000</v>
      </c>
    </row>
    <row r="82" customFormat="false" ht="13.9" hidden="false" customHeight="true" outlineLevel="0" collapsed="false">
      <c r="D82" s="79"/>
      <c r="E82" s="44"/>
      <c r="F82" s="1" t="s">
        <v>140</v>
      </c>
      <c r="G82" s="46" t="n">
        <v>1366.29</v>
      </c>
      <c r="H82" s="46" t="n">
        <v>1671.38</v>
      </c>
      <c r="I82" s="46" t="n">
        <v>1671</v>
      </c>
      <c r="J82" s="46" t="n">
        <v>1605</v>
      </c>
      <c r="K82" s="46" t="n">
        <v>1605</v>
      </c>
      <c r="L82" s="46"/>
      <c r="M82" s="46"/>
      <c r="N82" s="46" t="n">
        <v>573</v>
      </c>
      <c r="O82" s="46"/>
      <c r="P82" s="46" t="n">
        <f aca="false">K82+SUM(L82:O82)</f>
        <v>2178</v>
      </c>
      <c r="Q82" s="46" t="n">
        <v>525</v>
      </c>
      <c r="R82" s="2" t="n">
        <f aca="false">Q82/$P82</f>
        <v>0.241046831955923</v>
      </c>
      <c r="S82" s="46" t="n">
        <v>1050</v>
      </c>
      <c r="T82" s="2" t="n">
        <f aca="false">S82/$P82</f>
        <v>0.482093663911846</v>
      </c>
      <c r="U82" s="46" t="n">
        <v>1575</v>
      </c>
      <c r="V82" s="2" t="n">
        <f aca="false">U82/$P82</f>
        <v>0.723140495867769</v>
      </c>
      <c r="W82" s="46" t="n">
        <v>2178</v>
      </c>
      <c r="X82" s="47" t="n">
        <f aca="false">W82/$P82</f>
        <v>1</v>
      </c>
      <c r="Y82" s="46" t="n">
        <f aca="false">K82</f>
        <v>1605</v>
      </c>
      <c r="Z82" s="48" t="n">
        <f aca="false">Y82</f>
        <v>1605</v>
      </c>
    </row>
    <row r="83" customFormat="false" ht="13.9" hidden="false" customHeight="true" outlineLevel="0" collapsed="false">
      <c r="D83" s="79"/>
      <c r="E83" s="52"/>
      <c r="F83" s="86" t="s">
        <v>141</v>
      </c>
      <c r="G83" s="54" t="n">
        <v>1900.8</v>
      </c>
      <c r="H83" s="54" t="n">
        <v>1900.8</v>
      </c>
      <c r="I83" s="54" t="n">
        <v>1901</v>
      </c>
      <c r="J83" s="54" t="n">
        <v>715.2</v>
      </c>
      <c r="K83" s="54" t="n">
        <v>1901</v>
      </c>
      <c r="L83" s="54"/>
      <c r="M83" s="54" t="n">
        <v>1109</v>
      </c>
      <c r="N83" s="54"/>
      <c r="O83" s="54" t="n">
        <v>240</v>
      </c>
      <c r="P83" s="54" t="n">
        <f aca="false">K83+SUM(L83:O83)</f>
        <v>3250</v>
      </c>
      <c r="Q83" s="54" t="n">
        <v>1584</v>
      </c>
      <c r="R83" s="55" t="n">
        <f aca="false">Q83/$P83</f>
        <v>0.487384615384615</v>
      </c>
      <c r="S83" s="54" t="n">
        <v>2059.2</v>
      </c>
      <c r="T83" s="55" t="n">
        <f aca="false">S83/$P83</f>
        <v>0.6336</v>
      </c>
      <c r="U83" s="54" t="n">
        <v>2774.4</v>
      </c>
      <c r="V83" s="55" t="n">
        <f aca="false">U83/$P83</f>
        <v>0.853661538461539</v>
      </c>
      <c r="W83" s="54" t="n">
        <v>3249.6</v>
      </c>
      <c r="X83" s="56" t="n">
        <f aca="false">W83/$P83</f>
        <v>0.999876923076923</v>
      </c>
      <c r="Y83" s="54" t="n">
        <f aca="false">K83</f>
        <v>1901</v>
      </c>
      <c r="Z83" s="57" t="n">
        <f aca="false">Y83</f>
        <v>1901</v>
      </c>
    </row>
    <row r="84" customFormat="false" ht="13.9" hidden="true" customHeight="true" outlineLevel="0" collapsed="false">
      <c r="D84" s="79"/>
      <c r="E84" s="52"/>
      <c r="F84" s="86" t="s">
        <v>142</v>
      </c>
      <c r="G84" s="54" t="n">
        <v>2746.34</v>
      </c>
      <c r="H84" s="87" t="n">
        <v>686.45</v>
      </c>
      <c r="I84" s="87" t="n">
        <v>0</v>
      </c>
      <c r="J84" s="87" t="n">
        <v>195.4</v>
      </c>
      <c r="K84" s="87" t="n">
        <v>200</v>
      </c>
      <c r="L84" s="87"/>
      <c r="M84" s="87"/>
      <c r="N84" s="87"/>
      <c r="O84" s="87"/>
      <c r="P84" s="87" t="n">
        <f aca="false">K84+SUM(L84:O84)</f>
        <v>200</v>
      </c>
      <c r="Q84" s="87"/>
      <c r="R84" s="88" t="n">
        <f aca="false">Q84/$P84</f>
        <v>0</v>
      </c>
      <c r="S84" s="87"/>
      <c r="T84" s="88" t="n">
        <f aca="false">S84/$P84</f>
        <v>0</v>
      </c>
      <c r="U84" s="87"/>
      <c r="V84" s="88" t="n">
        <f aca="false">U84/$P84</f>
        <v>0</v>
      </c>
      <c r="W84" s="87"/>
      <c r="X84" s="89" t="n">
        <f aca="false">W84/$P84</f>
        <v>0</v>
      </c>
      <c r="Y84" s="54" t="n">
        <f aca="false">K84</f>
        <v>200</v>
      </c>
      <c r="Z84" s="57" t="n">
        <f aca="false">Y84</f>
        <v>200</v>
      </c>
    </row>
    <row r="85" customFormat="false" ht="13.9" hidden="false" customHeight="true" outlineLevel="0" collapsed="false">
      <c r="D85" s="79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S85" s="46"/>
      <c r="U85" s="46"/>
      <c r="W85" s="46"/>
      <c r="Y85" s="46"/>
      <c r="Z85" s="46"/>
    </row>
    <row r="86" customFormat="false" ht="13.9" hidden="false" customHeight="true" outlineLevel="0" collapsed="false">
      <c r="D86" s="60" t="s">
        <v>143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</row>
    <row r="87" customFormat="false" ht="13.9" hidden="false" customHeight="true" outlineLevel="0" collapsed="false">
      <c r="D87" s="7" t="s">
        <v>33</v>
      </c>
      <c r="E87" s="7" t="s">
        <v>34</v>
      </c>
      <c r="F87" s="7" t="s">
        <v>35</v>
      </c>
      <c r="G87" s="7" t="s">
        <v>1</v>
      </c>
      <c r="H87" s="7" t="s">
        <v>2</v>
      </c>
      <c r="I87" s="7" t="s">
        <v>3</v>
      </c>
      <c r="J87" s="7" t="s">
        <v>4</v>
      </c>
      <c r="K87" s="7" t="s">
        <v>5</v>
      </c>
      <c r="L87" s="7" t="s">
        <v>6</v>
      </c>
      <c r="M87" s="7" t="s">
        <v>7</v>
      </c>
      <c r="N87" s="7" t="s">
        <v>8</v>
      </c>
      <c r="O87" s="7" t="s">
        <v>9</v>
      </c>
      <c r="P87" s="7" t="s">
        <v>10</v>
      </c>
      <c r="Q87" s="7" t="s">
        <v>11</v>
      </c>
      <c r="R87" s="8" t="s">
        <v>12</v>
      </c>
      <c r="S87" s="7" t="s">
        <v>13</v>
      </c>
      <c r="T87" s="8" t="s">
        <v>14</v>
      </c>
      <c r="U87" s="7" t="s">
        <v>15</v>
      </c>
      <c r="V87" s="8" t="s">
        <v>16</v>
      </c>
      <c r="W87" s="7" t="s">
        <v>17</v>
      </c>
      <c r="X87" s="8" t="s">
        <v>18</v>
      </c>
      <c r="Y87" s="7" t="s">
        <v>19</v>
      </c>
      <c r="Z87" s="7" t="s">
        <v>20</v>
      </c>
    </row>
    <row r="88" customFormat="false" ht="13.9" hidden="false" customHeight="true" outlineLevel="0" collapsed="false">
      <c r="A88" s="1" t="n">
        <v>1</v>
      </c>
      <c r="B88" s="1" t="n">
        <v>1</v>
      </c>
      <c r="C88" s="1" t="n">
        <v>5</v>
      </c>
      <c r="D88" s="38" t="s">
        <v>126</v>
      </c>
      <c r="E88" s="10" t="n">
        <v>610</v>
      </c>
      <c r="F88" s="10" t="s">
        <v>127</v>
      </c>
      <c r="G88" s="11" t="n">
        <v>10272.61</v>
      </c>
      <c r="H88" s="11" t="n">
        <v>700</v>
      </c>
      <c r="I88" s="11" t="n">
        <v>0</v>
      </c>
      <c r="J88" s="11" t="n">
        <v>715.76</v>
      </c>
      <c r="K88" s="11" t="n">
        <v>13283</v>
      </c>
      <c r="L88" s="11"/>
      <c r="M88" s="11"/>
      <c r="N88" s="11" t="n">
        <v>500</v>
      </c>
      <c r="O88" s="11" t="n">
        <v>-7630</v>
      </c>
      <c r="P88" s="33" t="n">
        <f aca="false">K88+SUM(L88:O88)</f>
        <v>6153</v>
      </c>
      <c r="Q88" s="33" t="n">
        <v>384.6</v>
      </c>
      <c r="R88" s="34" t="n">
        <f aca="false">Q88/$P88</f>
        <v>0.0625060945880059</v>
      </c>
      <c r="S88" s="33" t="n">
        <v>1282</v>
      </c>
      <c r="T88" s="34" t="n">
        <f aca="false">S88/$P88</f>
        <v>0.208353648626686</v>
      </c>
      <c r="U88" s="33" t="n">
        <v>3244</v>
      </c>
      <c r="V88" s="34" t="n">
        <f aca="false">U88/$P88</f>
        <v>0.5272224930928</v>
      </c>
      <c r="W88" s="33" t="n">
        <v>6153.5</v>
      </c>
      <c r="X88" s="34" t="n">
        <f aca="false">W88/$P88</f>
        <v>1.00008126117341</v>
      </c>
      <c r="Y88" s="11" t="n">
        <v>14837</v>
      </c>
      <c r="Z88" s="11" t="n">
        <v>15261</v>
      </c>
    </row>
    <row r="89" customFormat="false" ht="13.9" hidden="false" customHeight="true" outlineLevel="0" collapsed="false">
      <c r="A89" s="1" t="n">
        <v>1</v>
      </c>
      <c r="B89" s="1" t="n">
        <v>1</v>
      </c>
      <c r="C89" s="1" t="n">
        <v>5</v>
      </c>
      <c r="D89" s="38" t="s">
        <v>144</v>
      </c>
      <c r="E89" s="10" t="n">
        <v>620</v>
      </c>
      <c r="F89" s="10" t="s">
        <v>128</v>
      </c>
      <c r="G89" s="11" t="n">
        <v>4384.79</v>
      </c>
      <c r="H89" s="11" t="n">
        <v>458.04</v>
      </c>
      <c r="I89" s="11" t="n">
        <v>451</v>
      </c>
      <c r="J89" s="11" t="n">
        <v>220.46</v>
      </c>
      <c r="K89" s="11" t="n">
        <v>5093</v>
      </c>
      <c r="L89" s="11"/>
      <c r="M89" s="11"/>
      <c r="N89" s="11" t="n">
        <v>164</v>
      </c>
      <c r="O89" s="11" t="n">
        <v>-2656</v>
      </c>
      <c r="P89" s="33" t="n">
        <f aca="false">K89+SUM(L89:O89)</f>
        <v>2601</v>
      </c>
      <c r="Q89" s="33" t="n">
        <v>585.79</v>
      </c>
      <c r="R89" s="34" t="n">
        <f aca="false">Q89/$P89</f>
        <v>0.22521722414456</v>
      </c>
      <c r="S89" s="33" t="n">
        <v>899.33</v>
      </c>
      <c r="T89" s="34" t="n">
        <f aca="false">S89/$P89</f>
        <v>0.345763168012303</v>
      </c>
      <c r="U89" s="33" t="n">
        <v>1584.97</v>
      </c>
      <c r="V89" s="34" t="n">
        <f aca="false">U89/$P89</f>
        <v>0.609369473279508</v>
      </c>
      <c r="W89" s="33" t="n">
        <v>2601.76</v>
      </c>
      <c r="X89" s="34" t="n">
        <f aca="false">W89/$P89</f>
        <v>1.0002921953095</v>
      </c>
      <c r="Y89" s="11" t="n">
        <v>5637</v>
      </c>
      <c r="Z89" s="11" t="n">
        <v>5786</v>
      </c>
    </row>
    <row r="90" customFormat="false" ht="13.9" hidden="false" customHeight="true" outlineLevel="0" collapsed="false">
      <c r="A90" s="1" t="n">
        <v>1</v>
      </c>
      <c r="B90" s="1" t="n">
        <v>1</v>
      </c>
      <c r="C90" s="1" t="n">
        <v>5</v>
      </c>
      <c r="D90" s="38" t="s">
        <v>145</v>
      </c>
      <c r="E90" s="10" t="n">
        <v>630</v>
      </c>
      <c r="F90" s="10" t="s">
        <v>129</v>
      </c>
      <c r="G90" s="11" t="n">
        <v>33066.57</v>
      </c>
      <c r="H90" s="11" t="n">
        <v>18565.44</v>
      </c>
      <c r="I90" s="11" t="n">
        <f aca="false">2000+17271</f>
        <v>19271</v>
      </c>
      <c r="J90" s="11" t="n">
        <v>21040.87</v>
      </c>
      <c r="K90" s="11" t="n">
        <f aca="false">3160+21229</f>
        <v>24389</v>
      </c>
      <c r="L90" s="11"/>
      <c r="M90" s="11" t="n">
        <f aca="false">1000+1150</f>
        <v>2150</v>
      </c>
      <c r="N90" s="11" t="n">
        <v>4691</v>
      </c>
      <c r="O90" s="11" t="n">
        <f aca="false">1663-2550</f>
        <v>-887</v>
      </c>
      <c r="P90" s="33" t="n">
        <f aca="false">K90+SUM(L90:O90)</f>
        <v>30343</v>
      </c>
      <c r="Q90" s="33" t="n">
        <v>6815.02</v>
      </c>
      <c r="R90" s="34" t="n">
        <f aca="false">Q90/$P90</f>
        <v>0.22459941337376</v>
      </c>
      <c r="S90" s="33" t="n">
        <v>14430.92</v>
      </c>
      <c r="T90" s="34" t="n">
        <f aca="false">S90/$P90</f>
        <v>0.475593052763405</v>
      </c>
      <c r="U90" s="33" t="n">
        <v>25522.32</v>
      </c>
      <c r="V90" s="34" t="n">
        <f aca="false">U90/$P90</f>
        <v>0.841127113337508</v>
      </c>
      <c r="W90" s="33" t="n">
        <v>29350.68</v>
      </c>
      <c r="X90" s="34" t="n">
        <f aca="false">W90/$P90</f>
        <v>0.967296575816498</v>
      </c>
      <c r="Y90" s="11" t="n">
        <f aca="false">3162+21229</f>
        <v>24391</v>
      </c>
      <c r="Z90" s="11" t="n">
        <f aca="false">3182+21229</f>
        <v>24411</v>
      </c>
    </row>
    <row r="91" customFormat="false" ht="13.9" hidden="true" customHeight="true" outlineLevel="0" collapsed="false">
      <c r="A91" s="1" t="n">
        <v>1</v>
      </c>
      <c r="B91" s="1" t="n">
        <v>1</v>
      </c>
      <c r="C91" s="1" t="n">
        <v>5</v>
      </c>
      <c r="D91" s="38" t="s">
        <v>146</v>
      </c>
      <c r="E91" s="10" t="n">
        <v>640</v>
      </c>
      <c r="F91" s="10" t="s">
        <v>130</v>
      </c>
      <c r="G91" s="11" t="n">
        <v>106.16</v>
      </c>
      <c r="H91" s="11" t="n">
        <v>0</v>
      </c>
      <c r="I91" s="11" t="n">
        <v>0</v>
      </c>
      <c r="J91" s="11" t="n">
        <v>0</v>
      </c>
      <c r="K91" s="11" t="n">
        <v>0</v>
      </c>
      <c r="L91" s="11"/>
      <c r="M91" s="11"/>
      <c r="N91" s="11"/>
      <c r="O91" s="11"/>
      <c r="P91" s="33" t="n">
        <f aca="false">K91+SUM(L91:O91)</f>
        <v>0</v>
      </c>
      <c r="Q91" s="33" t="n">
        <v>0</v>
      </c>
      <c r="R91" s="34" t="e">
        <f aca="false">Q91/$P91</f>
        <v>#DIV/0!</v>
      </c>
      <c r="S91" s="33" t="n">
        <v>0</v>
      </c>
      <c r="T91" s="34" t="e">
        <f aca="false">S91/$P91</f>
        <v>#DIV/0!</v>
      </c>
      <c r="U91" s="33" t="n">
        <v>0</v>
      </c>
      <c r="V91" s="34" t="e">
        <f aca="false">U91/$P91</f>
        <v>#DIV/0!</v>
      </c>
      <c r="W91" s="33" t="n">
        <v>0</v>
      </c>
      <c r="X91" s="34" t="e">
        <f aca="false">W91/$P91</f>
        <v>#DIV/0!</v>
      </c>
      <c r="Y91" s="11" t="n">
        <v>0</v>
      </c>
      <c r="Z91" s="11" t="n">
        <v>0</v>
      </c>
    </row>
    <row r="92" customFormat="false" ht="13.9" hidden="false" customHeight="true" outlineLevel="0" collapsed="false">
      <c r="A92" s="1" t="n">
        <v>1</v>
      </c>
      <c r="B92" s="1" t="n">
        <v>1</v>
      </c>
      <c r="C92" s="1" t="n">
        <v>5</v>
      </c>
      <c r="D92" s="75" t="s">
        <v>21</v>
      </c>
      <c r="E92" s="35" t="n">
        <v>41</v>
      </c>
      <c r="F92" s="35" t="s">
        <v>23</v>
      </c>
      <c r="G92" s="36" t="n">
        <f aca="false">SUM(G88:G91)</f>
        <v>47830.13</v>
      </c>
      <c r="H92" s="36" t="n">
        <f aca="false">SUM(H88:H91)</f>
        <v>19723.48</v>
      </c>
      <c r="I92" s="36" t="n">
        <f aca="false">SUM(I88:I91)</f>
        <v>19722</v>
      </c>
      <c r="J92" s="36" t="n">
        <f aca="false">SUM(J88:J91)</f>
        <v>21977.09</v>
      </c>
      <c r="K92" s="36" t="n">
        <f aca="false">SUM(K88:K91)</f>
        <v>42765</v>
      </c>
      <c r="L92" s="36" t="n">
        <f aca="false">SUM(L88:L91)</f>
        <v>0</v>
      </c>
      <c r="M92" s="36" t="n">
        <f aca="false">SUM(M88:M91)</f>
        <v>2150</v>
      </c>
      <c r="N92" s="36" t="n">
        <f aca="false">SUM(N88:N91)</f>
        <v>5355</v>
      </c>
      <c r="O92" s="36" t="n">
        <f aca="false">SUM(O88:O91)</f>
        <v>-11173</v>
      </c>
      <c r="P92" s="36" t="n">
        <f aca="false">SUM(P88:P91)</f>
        <v>39097</v>
      </c>
      <c r="Q92" s="36" t="n">
        <f aca="false">SUM(Q88:Q91)</f>
        <v>7785.41</v>
      </c>
      <c r="R92" s="37" t="n">
        <f aca="false">Q92/$P92</f>
        <v>0.199130623833031</v>
      </c>
      <c r="S92" s="36" t="n">
        <f aca="false">SUM(S88:S91)</f>
        <v>16612.25</v>
      </c>
      <c r="T92" s="37" t="n">
        <f aca="false">S92/$P92</f>
        <v>0.424898329795125</v>
      </c>
      <c r="U92" s="36" t="n">
        <f aca="false">SUM(U88:U91)</f>
        <v>30351.29</v>
      </c>
      <c r="V92" s="37" t="n">
        <f aca="false">U92/$P92</f>
        <v>0.776307389313758</v>
      </c>
      <c r="W92" s="36" t="n">
        <f aca="false">SUM(W88:W91)</f>
        <v>38105.94</v>
      </c>
      <c r="X92" s="37" t="n">
        <f aca="false">W92/$P92</f>
        <v>0.974651252014221</v>
      </c>
      <c r="Y92" s="36" t="n">
        <f aca="false">SUM(Y88:Y91)</f>
        <v>44865</v>
      </c>
      <c r="Z92" s="36" t="n">
        <f aca="false">SUM(Z88:Z91)</f>
        <v>45458</v>
      </c>
    </row>
    <row r="93" customFormat="false" ht="13.9" hidden="false" customHeight="true" outlineLevel="0" collapsed="false">
      <c r="A93" s="1" t="n">
        <v>1</v>
      </c>
      <c r="B93" s="1" t="n">
        <v>1</v>
      </c>
      <c r="C93" s="1" t="n">
        <v>5</v>
      </c>
      <c r="D93" s="68" t="s">
        <v>126</v>
      </c>
      <c r="E93" s="10" t="n">
        <v>640</v>
      </c>
      <c r="F93" s="10" t="s">
        <v>130</v>
      </c>
      <c r="G93" s="11" t="n">
        <v>112.07</v>
      </c>
      <c r="H93" s="11" t="n">
        <v>0</v>
      </c>
      <c r="I93" s="11" t="n">
        <v>0</v>
      </c>
      <c r="J93" s="11" t="n">
        <v>20.25</v>
      </c>
      <c r="K93" s="11" t="n">
        <v>20</v>
      </c>
      <c r="L93" s="11"/>
      <c r="M93" s="11"/>
      <c r="N93" s="11"/>
      <c r="O93" s="11" t="n">
        <v>113</v>
      </c>
      <c r="P93" s="11" t="n">
        <f aca="false">K93+SUM(L93:O93)</f>
        <v>133</v>
      </c>
      <c r="Q93" s="11" t="n">
        <v>0</v>
      </c>
      <c r="R93" s="12" t="n">
        <f aca="false">Q93/$P93</f>
        <v>0</v>
      </c>
      <c r="S93" s="11" t="n">
        <v>0</v>
      </c>
      <c r="T93" s="12" t="n">
        <f aca="false">S93/$P93</f>
        <v>0</v>
      </c>
      <c r="U93" s="11" t="n">
        <v>0</v>
      </c>
      <c r="V93" s="12" t="n">
        <f aca="false">U93/$P93</f>
        <v>0</v>
      </c>
      <c r="W93" s="11" t="n">
        <v>132.69</v>
      </c>
      <c r="X93" s="12" t="n">
        <f aca="false">W93/$P93</f>
        <v>0.997669172932331</v>
      </c>
      <c r="Y93" s="11" t="n">
        <f aca="false">K93</f>
        <v>20</v>
      </c>
      <c r="Z93" s="11" t="n">
        <f aca="false">Y93</f>
        <v>20</v>
      </c>
    </row>
    <row r="94" customFormat="false" ht="13.9" hidden="false" customHeight="true" outlineLevel="0" collapsed="false">
      <c r="A94" s="1" t="n">
        <v>1</v>
      </c>
      <c r="B94" s="1" t="n">
        <v>1</v>
      </c>
      <c r="C94" s="1" t="n">
        <v>5</v>
      </c>
      <c r="D94" s="75" t="s">
        <v>21</v>
      </c>
      <c r="E94" s="35" t="n">
        <v>72</v>
      </c>
      <c r="F94" s="35" t="s">
        <v>25</v>
      </c>
      <c r="G94" s="36" t="n">
        <f aca="false">SUM(G93:G93)</f>
        <v>112.07</v>
      </c>
      <c r="H94" s="36" t="n">
        <f aca="false">SUM(H93:H93)</f>
        <v>0</v>
      </c>
      <c r="I94" s="36" t="n">
        <f aca="false">SUM(I93:I93)</f>
        <v>0</v>
      </c>
      <c r="J94" s="36" t="n">
        <f aca="false">SUM(J93:J93)</f>
        <v>20.25</v>
      </c>
      <c r="K94" s="36" t="n">
        <f aca="false">SUM(K93:K93)</f>
        <v>20</v>
      </c>
      <c r="L94" s="36" t="n">
        <f aca="false">SUM(L93:L93)</f>
        <v>0</v>
      </c>
      <c r="M94" s="36" t="n">
        <f aca="false">SUM(M93:M93)</f>
        <v>0</v>
      </c>
      <c r="N94" s="36" t="n">
        <f aca="false">SUM(N93:N93)</f>
        <v>0</v>
      </c>
      <c r="O94" s="36" t="n">
        <f aca="false">SUM(O93:O93)</f>
        <v>113</v>
      </c>
      <c r="P94" s="36" t="n">
        <f aca="false">SUM(P93:P93)</f>
        <v>133</v>
      </c>
      <c r="Q94" s="36" t="n">
        <f aca="false">SUM(Q93:Q93)</f>
        <v>0</v>
      </c>
      <c r="R94" s="37" t="n">
        <f aca="false">Q94/$P94</f>
        <v>0</v>
      </c>
      <c r="S94" s="36" t="n">
        <f aca="false">SUM(S93:S93)</f>
        <v>0</v>
      </c>
      <c r="T94" s="37" t="n">
        <f aca="false">S94/$P94</f>
        <v>0</v>
      </c>
      <c r="U94" s="36" t="n">
        <f aca="false">SUM(U93:U93)</f>
        <v>0</v>
      </c>
      <c r="V94" s="37" t="n">
        <f aca="false">U94/$P94</f>
        <v>0</v>
      </c>
      <c r="W94" s="36" t="n">
        <f aca="false">SUM(W93:W93)</f>
        <v>132.69</v>
      </c>
      <c r="X94" s="37" t="n">
        <f aca="false">W94/$P94</f>
        <v>0.997669172932331</v>
      </c>
      <c r="Y94" s="36" t="n">
        <f aca="false">SUM(Y93:Y93)</f>
        <v>20</v>
      </c>
      <c r="Z94" s="36" t="n">
        <f aca="false">SUM(Z93:Z93)</f>
        <v>20</v>
      </c>
    </row>
    <row r="95" customFormat="false" ht="13.9" hidden="false" customHeight="true" outlineLevel="0" collapsed="false">
      <c r="A95" s="1" t="n">
        <v>1</v>
      </c>
      <c r="B95" s="1" t="n">
        <v>1</v>
      </c>
      <c r="C95" s="1" t="n">
        <v>5</v>
      </c>
      <c r="D95" s="77"/>
      <c r="E95" s="78"/>
      <c r="F95" s="13" t="s">
        <v>122</v>
      </c>
      <c r="G95" s="14" t="n">
        <f aca="false">G92+G94</f>
        <v>47942.2</v>
      </c>
      <c r="H95" s="14" t="n">
        <f aca="false">H92+H94</f>
        <v>19723.48</v>
      </c>
      <c r="I95" s="14" t="n">
        <f aca="false">I92+I94</f>
        <v>19722</v>
      </c>
      <c r="J95" s="14" t="n">
        <f aca="false">J92+J94</f>
        <v>21997.34</v>
      </c>
      <c r="K95" s="14" t="n">
        <f aca="false">K92+K94</f>
        <v>42785</v>
      </c>
      <c r="L95" s="14" t="n">
        <f aca="false">L92+L94</f>
        <v>0</v>
      </c>
      <c r="M95" s="14" t="n">
        <f aca="false">M92+M94</f>
        <v>2150</v>
      </c>
      <c r="N95" s="14" t="n">
        <f aca="false">N92+N94</f>
        <v>5355</v>
      </c>
      <c r="O95" s="14" t="n">
        <f aca="false">O92+O94</f>
        <v>-11060</v>
      </c>
      <c r="P95" s="14" t="n">
        <f aca="false">P92+P94</f>
        <v>39230</v>
      </c>
      <c r="Q95" s="14" t="n">
        <f aca="false">Q92+Q94</f>
        <v>7785.41</v>
      </c>
      <c r="R95" s="15" t="n">
        <f aca="false">Q95/$P95</f>
        <v>0.198455518735662</v>
      </c>
      <c r="S95" s="14" t="n">
        <f aca="false">S92+S94</f>
        <v>16612.25</v>
      </c>
      <c r="T95" s="15" t="n">
        <f aca="false">S95/$P95</f>
        <v>0.423457812898292</v>
      </c>
      <c r="U95" s="14" t="n">
        <f aca="false">U92+U94</f>
        <v>30351.29</v>
      </c>
      <c r="V95" s="15" t="n">
        <f aca="false">U95/$P95</f>
        <v>0.773675503441244</v>
      </c>
      <c r="W95" s="14" t="n">
        <f aca="false">W92+W94</f>
        <v>38238.63</v>
      </c>
      <c r="X95" s="15" t="n">
        <f aca="false">W95/$P95</f>
        <v>0.974729288809585</v>
      </c>
      <c r="Y95" s="14" t="n">
        <f aca="false">Y92+Y94</f>
        <v>44885</v>
      </c>
      <c r="Z95" s="14" t="n">
        <f aca="false">Z92+Z94</f>
        <v>45478</v>
      </c>
    </row>
    <row r="96" customFormat="false" ht="13.9" hidden="false" customHeight="true" outlineLevel="0" collapsed="false">
      <c r="D96" s="79"/>
      <c r="E96" s="31"/>
      <c r="F96" s="31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1"/>
      <c r="S96" s="80"/>
      <c r="T96" s="81"/>
      <c r="U96" s="80"/>
      <c r="V96" s="81"/>
      <c r="W96" s="80"/>
      <c r="X96" s="81"/>
      <c r="Y96" s="80"/>
      <c r="Z96" s="80"/>
    </row>
    <row r="97" customFormat="false" ht="13.9" hidden="false" customHeight="true" outlineLevel="0" collapsed="false">
      <c r="D97" s="79"/>
      <c r="E97" s="39" t="s">
        <v>57</v>
      </c>
      <c r="F97" s="17" t="s">
        <v>147</v>
      </c>
      <c r="G97" s="40" t="n">
        <v>1595</v>
      </c>
      <c r="H97" s="40" t="n">
        <v>1161.42</v>
      </c>
      <c r="I97" s="40" t="n">
        <v>1122</v>
      </c>
      <c r="J97" s="40" t="n">
        <v>1122</v>
      </c>
      <c r="K97" s="40" t="n">
        <v>1635</v>
      </c>
      <c r="L97" s="40"/>
      <c r="M97" s="40"/>
      <c r="N97" s="40" t="n">
        <v>-117</v>
      </c>
      <c r="O97" s="40"/>
      <c r="P97" s="40" t="n">
        <f aca="false">K97+SUM(L97:O97)</f>
        <v>1518</v>
      </c>
      <c r="Q97" s="40" t="n">
        <v>276</v>
      </c>
      <c r="R97" s="41" t="n">
        <f aca="false">Q97/$P97</f>
        <v>0.181818181818182</v>
      </c>
      <c r="S97" s="40" t="n">
        <v>690</v>
      </c>
      <c r="T97" s="41" t="n">
        <f aca="false">S97/$P97</f>
        <v>0.454545454545455</v>
      </c>
      <c r="U97" s="40" t="n">
        <v>1104</v>
      </c>
      <c r="V97" s="41" t="n">
        <f aca="false">U97/$P97</f>
        <v>0.727272727272727</v>
      </c>
      <c r="W97" s="40" t="n">
        <v>1361.02</v>
      </c>
      <c r="X97" s="42" t="n">
        <f aca="false">W97/$P97</f>
        <v>0.896587615283268</v>
      </c>
      <c r="Y97" s="40" t="n">
        <f aca="false">K97</f>
        <v>1635</v>
      </c>
      <c r="Z97" s="43" t="n">
        <f aca="false">Y97</f>
        <v>1635</v>
      </c>
    </row>
    <row r="98" customFormat="false" ht="13.9" hidden="false" customHeight="true" outlineLevel="0" collapsed="false">
      <c r="D98" s="79"/>
      <c r="E98" s="44"/>
      <c r="F98" s="1" t="s">
        <v>148</v>
      </c>
      <c r="G98" s="46" t="n">
        <v>2519.73</v>
      </c>
      <c r="H98" s="46" t="n">
        <v>1457.25</v>
      </c>
      <c r="I98" s="46" t="n">
        <v>1620</v>
      </c>
      <c r="J98" s="46" t="n">
        <v>1620</v>
      </c>
      <c r="K98" s="46" t="n">
        <v>4497</v>
      </c>
      <c r="L98" s="46"/>
      <c r="M98" s="46"/>
      <c r="N98" s="46" t="n">
        <v>-3</v>
      </c>
      <c r="O98" s="46"/>
      <c r="P98" s="46" t="n">
        <f aca="false">K98+SUM(L98:O98)</f>
        <v>4494</v>
      </c>
      <c r="Q98" s="46" t="n">
        <v>817</v>
      </c>
      <c r="R98" s="2" t="n">
        <f aca="false">Q98/$P98</f>
        <v>0.18179795282599</v>
      </c>
      <c r="S98" s="46" t="n">
        <v>2042.5</v>
      </c>
      <c r="T98" s="2" t="n">
        <f aca="false">S98/$P98</f>
        <v>0.454494882064976</v>
      </c>
      <c r="U98" s="46" t="n">
        <v>3268</v>
      </c>
      <c r="V98" s="2" t="n">
        <f aca="false">U98/$P98</f>
        <v>0.727191811303961</v>
      </c>
      <c r="W98" s="46" t="n">
        <v>4493.5</v>
      </c>
      <c r="X98" s="47" t="n">
        <f aca="false">W98/$P98</f>
        <v>0.999888740542946</v>
      </c>
      <c r="Y98" s="46" t="n">
        <f aca="false">K98</f>
        <v>4497</v>
      </c>
      <c r="Z98" s="48" t="n">
        <f aca="false">Y98</f>
        <v>4497</v>
      </c>
    </row>
    <row r="99" customFormat="false" ht="13.9" hidden="false" customHeight="true" outlineLevel="0" collapsed="false">
      <c r="D99" s="79"/>
      <c r="E99" s="44"/>
      <c r="F99" s="1" t="s">
        <v>149</v>
      </c>
      <c r="G99" s="49" t="n">
        <v>2792.79</v>
      </c>
      <c r="H99" s="46" t="n">
        <v>1831</v>
      </c>
      <c r="I99" s="46" t="n">
        <v>1831</v>
      </c>
      <c r="J99" s="46" t="n">
        <v>1830.4</v>
      </c>
      <c r="K99" s="46" t="n">
        <v>1831</v>
      </c>
      <c r="L99" s="46"/>
      <c r="M99" s="46"/>
      <c r="N99" s="46"/>
      <c r="O99" s="46" t="n">
        <v>92</v>
      </c>
      <c r="P99" s="46" t="n">
        <f aca="false">K99+SUM(L99:O99)</f>
        <v>1923</v>
      </c>
      <c r="Q99" s="46" t="n">
        <v>0</v>
      </c>
      <c r="R99" s="2" t="n">
        <f aca="false">Q99/$P99</f>
        <v>0</v>
      </c>
      <c r="S99" s="46" t="n">
        <v>260.12</v>
      </c>
      <c r="T99" s="2" t="n">
        <f aca="false">S99/$P99</f>
        <v>0.135267810712429</v>
      </c>
      <c r="U99" s="46" t="n">
        <v>1492.23</v>
      </c>
      <c r="V99" s="2" t="n">
        <f aca="false">U99/$P99</f>
        <v>0.775990639625585</v>
      </c>
      <c r="W99" s="46" t="n">
        <v>1923.15</v>
      </c>
      <c r="X99" s="47" t="n">
        <f aca="false">W99/$P99</f>
        <v>1.00007800312012</v>
      </c>
      <c r="Y99" s="46" t="n">
        <f aca="false">K99</f>
        <v>1831</v>
      </c>
      <c r="Z99" s="48" t="n">
        <f aca="false">Y99</f>
        <v>1831</v>
      </c>
    </row>
    <row r="100" customFormat="false" ht="13.9" hidden="false" customHeight="true" outlineLevel="0" collapsed="false">
      <c r="D100" s="79"/>
      <c r="E100" s="44"/>
      <c r="F100" s="1" t="s">
        <v>150</v>
      </c>
      <c r="G100" s="49" t="n">
        <v>8054.22</v>
      </c>
      <c r="H100" s="46" t="n">
        <v>1483</v>
      </c>
      <c r="I100" s="46" t="n">
        <v>1859</v>
      </c>
      <c r="J100" s="46" t="n">
        <v>4472.34</v>
      </c>
      <c r="K100" s="46" t="n">
        <v>2380</v>
      </c>
      <c r="L100" s="46" t="n">
        <v>-482</v>
      </c>
      <c r="M100" s="46" t="n">
        <v>1150</v>
      </c>
      <c r="N100" s="46" t="n">
        <v>3305</v>
      </c>
      <c r="O100" s="46" t="n">
        <v>459</v>
      </c>
      <c r="P100" s="46" t="n">
        <f aca="false">K100+SUM(L100:O100)</f>
        <v>6812</v>
      </c>
      <c r="Q100" s="46" t="n">
        <v>538.27</v>
      </c>
      <c r="R100" s="2" t="n">
        <f aca="false">Q100/$P100</f>
        <v>0.0790179095713447</v>
      </c>
      <c r="S100" s="46" t="n">
        <v>2143.78</v>
      </c>
      <c r="T100" s="2" t="n">
        <f aca="false">S100/$P100</f>
        <v>0.314706400469759</v>
      </c>
      <c r="U100" s="46" t="n">
        <v>5143.57</v>
      </c>
      <c r="V100" s="2" t="n">
        <f aca="false">U100/$P100</f>
        <v>0.755074867880211</v>
      </c>
      <c r="W100" s="46" t="n">
        <v>6812.17</v>
      </c>
      <c r="X100" s="47" t="n">
        <f aca="false">W100/$P100</f>
        <v>1.00002495596007</v>
      </c>
      <c r="Y100" s="46" t="n">
        <f aca="false">K100</f>
        <v>2380</v>
      </c>
      <c r="Z100" s="48" t="n">
        <f aca="false">Y100</f>
        <v>2380</v>
      </c>
    </row>
    <row r="101" customFormat="false" ht="13.9" hidden="false" customHeight="true" outlineLevel="0" collapsed="false">
      <c r="D101" s="79"/>
      <c r="E101" s="52"/>
      <c r="F101" s="86" t="s">
        <v>151</v>
      </c>
      <c r="G101" s="54" t="n">
        <v>5970.38</v>
      </c>
      <c r="H101" s="87" t="n">
        <v>4434.34</v>
      </c>
      <c r="I101" s="87" t="n">
        <v>7244</v>
      </c>
      <c r="J101" s="87" t="n">
        <v>8111.3</v>
      </c>
      <c r="K101" s="87" t="n">
        <v>8140</v>
      </c>
      <c r="L101" s="87"/>
      <c r="M101" s="87"/>
      <c r="N101" s="87"/>
      <c r="O101" s="87" t="n">
        <v>296</v>
      </c>
      <c r="P101" s="87" t="n">
        <f aca="false">K101+SUM(L101:O101)</f>
        <v>8436</v>
      </c>
      <c r="Q101" s="87" t="n">
        <v>2904.73</v>
      </c>
      <c r="R101" s="88" t="n">
        <f aca="false">Q101/$P101</f>
        <v>0.344325509720247</v>
      </c>
      <c r="S101" s="87" t="n">
        <v>6074.71</v>
      </c>
      <c r="T101" s="88" t="n">
        <f aca="false">S101/$P101</f>
        <v>0.720093646277857</v>
      </c>
      <c r="U101" s="87" t="n">
        <v>9452.36</v>
      </c>
      <c r="V101" s="88" t="n">
        <f aca="false">U101/$P101</f>
        <v>1.12047889995258</v>
      </c>
      <c r="W101" s="87" t="n">
        <v>7632.27</v>
      </c>
      <c r="X101" s="89" t="n">
        <f aca="false">W101/$P101</f>
        <v>0.904726173541963</v>
      </c>
      <c r="Y101" s="54" t="n">
        <f aca="false">K101</f>
        <v>8140</v>
      </c>
      <c r="Z101" s="57" t="n">
        <f aca="false">Y101</f>
        <v>8140</v>
      </c>
    </row>
    <row r="102" customFormat="false" ht="13.9" hidden="false" customHeight="true" outlineLevel="0" collapsed="false">
      <c r="D102" s="79"/>
      <c r="E102" s="31"/>
      <c r="F102" s="31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1"/>
      <c r="S102" s="80"/>
      <c r="T102" s="81"/>
      <c r="U102" s="80"/>
      <c r="V102" s="81"/>
      <c r="W102" s="80"/>
      <c r="X102" s="81"/>
      <c r="Y102" s="80"/>
      <c r="Z102" s="80"/>
    </row>
    <row r="103" customFormat="false" ht="13.9" hidden="false" customHeight="true" outlineLevel="0" collapsed="false">
      <c r="D103" s="60" t="s">
        <v>152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</row>
    <row r="104" customFormat="false" ht="13.9" hidden="false" customHeight="true" outlineLevel="0" collapsed="false">
      <c r="D104" s="7" t="s">
        <v>33</v>
      </c>
      <c r="E104" s="7" t="s">
        <v>34</v>
      </c>
      <c r="F104" s="7" t="s">
        <v>35</v>
      </c>
      <c r="G104" s="7" t="s">
        <v>1</v>
      </c>
      <c r="H104" s="7" t="s">
        <v>2</v>
      </c>
      <c r="I104" s="7" t="s">
        <v>3</v>
      </c>
      <c r="J104" s="7" t="s">
        <v>4</v>
      </c>
      <c r="K104" s="7" t="s">
        <v>5</v>
      </c>
      <c r="L104" s="7" t="s">
        <v>6</v>
      </c>
      <c r="M104" s="7" t="s">
        <v>7</v>
      </c>
      <c r="N104" s="7" t="s">
        <v>8</v>
      </c>
      <c r="O104" s="7" t="s">
        <v>9</v>
      </c>
      <c r="P104" s="7" t="s">
        <v>10</v>
      </c>
      <c r="Q104" s="7" t="s">
        <v>11</v>
      </c>
      <c r="R104" s="8" t="s">
        <v>12</v>
      </c>
      <c r="S104" s="7" t="s">
        <v>13</v>
      </c>
      <c r="T104" s="8" t="s">
        <v>14</v>
      </c>
      <c r="U104" s="7" t="s">
        <v>15</v>
      </c>
      <c r="V104" s="8" t="s">
        <v>16</v>
      </c>
      <c r="W104" s="7" t="s">
        <v>17</v>
      </c>
      <c r="X104" s="8" t="s">
        <v>18</v>
      </c>
      <c r="Y104" s="7" t="s">
        <v>19</v>
      </c>
      <c r="Z104" s="7" t="s">
        <v>20</v>
      </c>
    </row>
    <row r="105" customFormat="false" ht="13.9" hidden="false" customHeight="true" outlineLevel="0" collapsed="false">
      <c r="A105" s="1" t="n">
        <v>1</v>
      </c>
      <c r="B105" s="1" t="n">
        <v>1</v>
      </c>
      <c r="C105" s="1" t="n">
        <v>6</v>
      </c>
      <c r="D105" s="74" t="s">
        <v>153</v>
      </c>
      <c r="E105" s="10" t="n">
        <v>630</v>
      </c>
      <c r="F105" s="10" t="s">
        <v>129</v>
      </c>
      <c r="G105" s="11" t="n">
        <v>1301.93</v>
      </c>
      <c r="H105" s="11" t="n">
        <v>2179.25</v>
      </c>
      <c r="I105" s="11" t="n">
        <v>588</v>
      </c>
      <c r="J105" s="11" t="n">
        <v>390.89</v>
      </c>
      <c r="K105" s="11" t="n">
        <v>792</v>
      </c>
      <c r="L105" s="11"/>
      <c r="M105" s="11"/>
      <c r="N105" s="11"/>
      <c r="O105" s="11" t="n">
        <v>176</v>
      </c>
      <c r="P105" s="11" t="n">
        <f aca="false">K105+SUM(L105:O105)</f>
        <v>968</v>
      </c>
      <c r="Q105" s="11" t="n">
        <v>368.06</v>
      </c>
      <c r="R105" s="12" t="n">
        <f aca="false">Q105/$P105</f>
        <v>0.380227272727273</v>
      </c>
      <c r="S105" s="11" t="n">
        <v>382.81</v>
      </c>
      <c r="T105" s="12" t="n">
        <f aca="false">S105/$P105</f>
        <v>0.395464876033058</v>
      </c>
      <c r="U105" s="11" t="n">
        <v>422.41</v>
      </c>
      <c r="V105" s="12" t="n">
        <f aca="false">U105/$P105</f>
        <v>0.436373966942149</v>
      </c>
      <c r="W105" s="11" t="n">
        <v>968.47</v>
      </c>
      <c r="X105" s="12" t="n">
        <f aca="false">W105/$P105</f>
        <v>1.00048553719008</v>
      </c>
      <c r="Y105" s="11" t="n">
        <f aca="false">K105</f>
        <v>792</v>
      </c>
      <c r="Z105" s="11" t="n">
        <f aca="false">Y105</f>
        <v>792</v>
      </c>
    </row>
    <row r="106" customFormat="false" ht="13.9" hidden="false" customHeight="true" outlineLevel="0" collapsed="false">
      <c r="A106" s="1" t="n">
        <v>1</v>
      </c>
      <c r="B106" s="1" t="n">
        <v>1</v>
      </c>
      <c r="C106" s="1" t="n">
        <v>6</v>
      </c>
      <c r="D106" s="67" t="s">
        <v>21</v>
      </c>
      <c r="E106" s="13" t="n">
        <v>41</v>
      </c>
      <c r="F106" s="13" t="s">
        <v>23</v>
      </c>
      <c r="G106" s="14" t="n">
        <f aca="false">SUM(G105:G105)</f>
        <v>1301.93</v>
      </c>
      <c r="H106" s="14" t="n">
        <f aca="false">SUM(H105:H105)</f>
        <v>2179.25</v>
      </c>
      <c r="I106" s="14" t="n">
        <f aca="false">SUM(I105:I105)</f>
        <v>588</v>
      </c>
      <c r="J106" s="14" t="n">
        <f aca="false">SUM(J105:J105)</f>
        <v>390.89</v>
      </c>
      <c r="K106" s="14" t="n">
        <f aca="false">SUM(K105:K105)</f>
        <v>792</v>
      </c>
      <c r="L106" s="14" t="n">
        <f aca="false">SUM(L105:L105)</f>
        <v>0</v>
      </c>
      <c r="M106" s="14" t="n">
        <f aca="false">SUM(M105:M105)</f>
        <v>0</v>
      </c>
      <c r="N106" s="14" t="n">
        <f aca="false">SUM(N105:N105)</f>
        <v>0</v>
      </c>
      <c r="O106" s="14" t="n">
        <f aca="false">SUM(O105:O105)</f>
        <v>176</v>
      </c>
      <c r="P106" s="14" t="n">
        <f aca="false">SUM(P105:P105)</f>
        <v>968</v>
      </c>
      <c r="Q106" s="14" t="n">
        <f aca="false">SUM(Q105:Q105)</f>
        <v>368.06</v>
      </c>
      <c r="R106" s="15" t="n">
        <f aca="false">Q106/$P106</f>
        <v>0.380227272727273</v>
      </c>
      <c r="S106" s="14" t="n">
        <f aca="false">SUM(S105:S105)</f>
        <v>382.81</v>
      </c>
      <c r="T106" s="15" t="n">
        <f aca="false">S106/$P106</f>
        <v>0.395464876033058</v>
      </c>
      <c r="U106" s="14" t="n">
        <f aca="false">SUM(U105:U105)</f>
        <v>422.41</v>
      </c>
      <c r="V106" s="15" t="n">
        <f aca="false">U106/$P106</f>
        <v>0.436373966942149</v>
      </c>
      <c r="W106" s="14" t="n">
        <f aca="false">SUM(W105:W105)</f>
        <v>968.47</v>
      </c>
      <c r="X106" s="15" t="n">
        <f aca="false">W106/$P106</f>
        <v>1.00048553719008</v>
      </c>
      <c r="Y106" s="14" t="n">
        <f aca="false">SUM(Y105:Y105)</f>
        <v>792</v>
      </c>
      <c r="Z106" s="14" t="n">
        <f aca="false">SUM(Z105:Z105)</f>
        <v>792</v>
      </c>
    </row>
    <row r="107" customFormat="false" ht="13.9" hidden="false" customHeight="true" outlineLevel="0" collapsed="false">
      <c r="D107" s="79"/>
      <c r="E107" s="31"/>
      <c r="F107" s="31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1"/>
      <c r="S107" s="80"/>
      <c r="T107" s="81"/>
      <c r="U107" s="80"/>
      <c r="V107" s="81"/>
      <c r="W107" s="80"/>
      <c r="X107" s="81"/>
      <c r="Y107" s="80"/>
      <c r="Z107" s="80"/>
    </row>
    <row r="108" customFormat="false" ht="13.9" hidden="false" customHeight="true" outlineLevel="0" collapsed="false">
      <c r="D108" s="60" t="s">
        <v>154</v>
      </c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</row>
    <row r="109" customFormat="false" ht="13.9" hidden="false" customHeight="true" outlineLevel="0" collapsed="false">
      <c r="D109" s="7" t="s">
        <v>33</v>
      </c>
      <c r="E109" s="7" t="s">
        <v>34</v>
      </c>
      <c r="F109" s="7" t="s">
        <v>35</v>
      </c>
      <c r="G109" s="7" t="s">
        <v>1</v>
      </c>
      <c r="H109" s="7" t="s">
        <v>2</v>
      </c>
      <c r="I109" s="7" t="s">
        <v>3</v>
      </c>
      <c r="J109" s="7" t="s">
        <v>4</v>
      </c>
      <c r="K109" s="7" t="s">
        <v>5</v>
      </c>
      <c r="L109" s="7" t="s">
        <v>6</v>
      </c>
      <c r="M109" s="7" t="s">
        <v>7</v>
      </c>
      <c r="N109" s="7" t="s">
        <v>8</v>
      </c>
      <c r="O109" s="7" t="s">
        <v>9</v>
      </c>
      <c r="P109" s="7" t="s">
        <v>10</v>
      </c>
      <c r="Q109" s="7" t="s">
        <v>11</v>
      </c>
      <c r="R109" s="8" t="s">
        <v>12</v>
      </c>
      <c r="S109" s="7" t="s">
        <v>13</v>
      </c>
      <c r="T109" s="8" t="s">
        <v>14</v>
      </c>
      <c r="U109" s="7" t="s">
        <v>15</v>
      </c>
      <c r="V109" s="8" t="s">
        <v>16</v>
      </c>
      <c r="W109" s="7" t="s">
        <v>17</v>
      </c>
      <c r="X109" s="8" t="s">
        <v>18</v>
      </c>
      <c r="Y109" s="7" t="s">
        <v>19</v>
      </c>
      <c r="Z109" s="7" t="s">
        <v>20</v>
      </c>
    </row>
    <row r="110" customFormat="false" ht="13.9" hidden="false" customHeight="true" outlineLevel="0" collapsed="false">
      <c r="A110" s="1" t="n">
        <v>1</v>
      </c>
      <c r="B110" s="1" t="n">
        <v>1</v>
      </c>
      <c r="C110" s="1" t="n">
        <v>7</v>
      </c>
      <c r="D110" s="74" t="s">
        <v>155</v>
      </c>
      <c r="E110" s="10" t="n">
        <v>610</v>
      </c>
      <c r="F110" s="10" t="s">
        <v>127</v>
      </c>
      <c r="G110" s="11" t="n">
        <v>4183.72</v>
      </c>
      <c r="H110" s="11" t="n">
        <v>4294.73</v>
      </c>
      <c r="I110" s="11" t="n">
        <v>3529</v>
      </c>
      <c r="J110" s="11" t="n">
        <v>4362</v>
      </c>
      <c r="K110" s="11" t="n">
        <v>3235</v>
      </c>
      <c r="L110" s="11"/>
      <c r="M110" s="11"/>
      <c r="N110" s="11"/>
      <c r="O110" s="11"/>
      <c r="P110" s="33" t="n">
        <f aca="false">K110+SUM(L110:O110)</f>
        <v>3235</v>
      </c>
      <c r="Q110" s="33" t="n">
        <v>1074.59</v>
      </c>
      <c r="R110" s="34" t="n">
        <f aca="false">Q110/$P110</f>
        <v>0.332176197836167</v>
      </c>
      <c r="S110" s="33" t="n">
        <v>2155.17</v>
      </c>
      <c r="T110" s="34" t="n">
        <f aca="false">S110/$P110</f>
        <v>0.666204018547141</v>
      </c>
      <c r="U110" s="33" t="n">
        <v>3235.75</v>
      </c>
      <c r="V110" s="34" t="n">
        <f aca="false">U110/$P110</f>
        <v>1.00023183925811</v>
      </c>
      <c r="W110" s="33" t="n">
        <v>4560.15</v>
      </c>
      <c r="X110" s="34" t="n">
        <f aca="false">W110/$P110</f>
        <v>1.40962905718702</v>
      </c>
      <c r="Y110" s="11" t="n">
        <f aca="false">K110</f>
        <v>3235</v>
      </c>
      <c r="Z110" s="11" t="n">
        <f aca="false">Y110</f>
        <v>3235</v>
      </c>
    </row>
    <row r="111" customFormat="false" ht="13.9" hidden="false" customHeight="true" outlineLevel="0" collapsed="false">
      <c r="A111" s="1" t="n">
        <v>1</v>
      </c>
      <c r="B111" s="1" t="n">
        <v>1</v>
      </c>
      <c r="C111" s="1" t="n">
        <v>7</v>
      </c>
      <c r="D111" s="74"/>
      <c r="E111" s="10" t="n">
        <v>620</v>
      </c>
      <c r="F111" s="10" t="s">
        <v>128</v>
      </c>
      <c r="G111" s="11" t="n">
        <v>1504.41</v>
      </c>
      <c r="H111" s="11" t="n">
        <v>1545.8</v>
      </c>
      <c r="I111" s="11" t="n">
        <v>1233</v>
      </c>
      <c r="J111" s="11" t="n">
        <v>1525</v>
      </c>
      <c r="K111" s="11" t="n">
        <v>1131</v>
      </c>
      <c r="L111" s="11"/>
      <c r="M111" s="11"/>
      <c r="N111" s="11"/>
      <c r="O111" s="11"/>
      <c r="P111" s="33" t="n">
        <f aca="false">K111+SUM(L111:O111)</f>
        <v>1131</v>
      </c>
      <c r="Q111" s="33" t="n">
        <v>375.93</v>
      </c>
      <c r="R111" s="34" t="n">
        <f aca="false">Q111/$P111</f>
        <v>0.332387267904509</v>
      </c>
      <c r="S111" s="33" t="n">
        <v>753.97</v>
      </c>
      <c r="T111" s="34" t="n">
        <f aca="false">S111/$P111</f>
        <v>0.666640141467728</v>
      </c>
      <c r="U111" s="33" t="n">
        <v>1132.01</v>
      </c>
      <c r="V111" s="34" t="n">
        <f aca="false">U111/$P111</f>
        <v>1.00089301503095</v>
      </c>
      <c r="W111" s="33" t="n">
        <v>1516.21</v>
      </c>
      <c r="X111" s="34" t="n">
        <f aca="false">W111/$P111</f>
        <v>1.34059239610964</v>
      </c>
      <c r="Y111" s="11" t="n">
        <f aca="false">K111</f>
        <v>1131</v>
      </c>
      <c r="Z111" s="11" t="n">
        <f aca="false">Y111</f>
        <v>1131</v>
      </c>
    </row>
    <row r="112" customFormat="false" ht="13.9" hidden="false" customHeight="true" outlineLevel="0" collapsed="false">
      <c r="A112" s="1" t="n">
        <v>1</v>
      </c>
      <c r="B112" s="1" t="n">
        <v>1</v>
      </c>
      <c r="C112" s="1" t="n">
        <v>7</v>
      </c>
      <c r="D112" s="74"/>
      <c r="E112" s="10" t="n">
        <v>630</v>
      </c>
      <c r="F112" s="10" t="s">
        <v>129</v>
      </c>
      <c r="G112" s="11" t="n">
        <v>513.22</v>
      </c>
      <c r="H112" s="33" t="n">
        <v>860.71</v>
      </c>
      <c r="I112" s="33" t="n">
        <f aca="false">príjmy!F111+príjmy!F112-I110-I111</f>
        <v>799</v>
      </c>
      <c r="J112" s="33" t="n">
        <v>861</v>
      </c>
      <c r="K112" s="33" t="n">
        <f aca="false">príjmy!H111-K110-K111</f>
        <v>1299</v>
      </c>
      <c r="L112" s="33"/>
      <c r="M112" s="33"/>
      <c r="N112" s="33"/>
      <c r="O112" s="33"/>
      <c r="P112" s="33" t="n">
        <f aca="false">K112+SUM(L112:O112)</f>
        <v>1299</v>
      </c>
      <c r="Q112" s="33" t="n">
        <v>273.4</v>
      </c>
      <c r="R112" s="34" t="n">
        <f aca="false">Q112/$P112</f>
        <v>0.210469591993841</v>
      </c>
      <c r="S112" s="33" t="n">
        <v>350.44</v>
      </c>
      <c r="T112" s="34" t="n">
        <f aca="false">S112/$P112</f>
        <v>0.26977675134719</v>
      </c>
      <c r="U112" s="33" t="n">
        <v>381.34</v>
      </c>
      <c r="V112" s="34" t="n">
        <f aca="false">U112/$P112</f>
        <v>0.29356428021555</v>
      </c>
      <c r="W112" s="33" t="n">
        <v>799.58</v>
      </c>
      <c r="X112" s="34" t="n">
        <f aca="false">W112/$P112</f>
        <v>0.615535026943803</v>
      </c>
      <c r="Y112" s="11" t="n">
        <f aca="false">K112</f>
        <v>1299</v>
      </c>
      <c r="Z112" s="11" t="n">
        <f aca="false">Y112</f>
        <v>1299</v>
      </c>
    </row>
    <row r="113" customFormat="false" ht="13.9" hidden="false" customHeight="true" outlineLevel="0" collapsed="false">
      <c r="A113" s="1" t="n">
        <v>1</v>
      </c>
      <c r="B113" s="1" t="n">
        <v>1</v>
      </c>
      <c r="C113" s="1" t="n">
        <v>7</v>
      </c>
      <c r="D113" s="75" t="s">
        <v>21</v>
      </c>
      <c r="E113" s="35" t="n">
        <v>111</v>
      </c>
      <c r="F113" s="35" t="s">
        <v>132</v>
      </c>
      <c r="G113" s="36" t="n">
        <f aca="false">SUM(G110:G112)</f>
        <v>6201.35</v>
      </c>
      <c r="H113" s="36" t="n">
        <f aca="false">SUM(H110:H112)</f>
        <v>6701.24</v>
      </c>
      <c r="I113" s="90" t="n">
        <f aca="false">SUM(I110:I112)</f>
        <v>5561</v>
      </c>
      <c r="J113" s="90" t="n">
        <f aca="false">SUM(J110:J112)</f>
        <v>6748</v>
      </c>
      <c r="K113" s="90" t="n">
        <f aca="false">SUM(K110:K112)</f>
        <v>5665</v>
      </c>
      <c r="L113" s="90" t="n">
        <f aca="false">SUM(L110:L112)</f>
        <v>0</v>
      </c>
      <c r="M113" s="90" t="n">
        <f aca="false">SUM(M110:M112)</f>
        <v>0</v>
      </c>
      <c r="N113" s="90" t="n">
        <f aca="false">SUM(N110:N112)</f>
        <v>0</v>
      </c>
      <c r="O113" s="90" t="n">
        <f aca="false">SUM(O110:O112)</f>
        <v>0</v>
      </c>
      <c r="P113" s="90" t="n">
        <f aca="false">SUM(P110:P112)</f>
        <v>5665</v>
      </c>
      <c r="Q113" s="90" t="n">
        <f aca="false">SUM(Q110:Q112)</f>
        <v>1723.92</v>
      </c>
      <c r="R113" s="91" t="n">
        <f aca="false">Q113/$P113</f>
        <v>0.304310679611651</v>
      </c>
      <c r="S113" s="90" t="n">
        <f aca="false">SUM(S110:S112)</f>
        <v>3259.58</v>
      </c>
      <c r="T113" s="91" t="n">
        <f aca="false">S113/$P113</f>
        <v>0.575389232127096</v>
      </c>
      <c r="U113" s="90" t="n">
        <f aca="false">SUM(U110:U112)</f>
        <v>4749.1</v>
      </c>
      <c r="V113" s="91" t="n">
        <f aca="false">U113/$P113</f>
        <v>0.838323036187114</v>
      </c>
      <c r="W113" s="90" t="n">
        <f aca="false">SUM(W110:W112)</f>
        <v>6875.94</v>
      </c>
      <c r="X113" s="91" t="n">
        <f aca="false">W113/$P113</f>
        <v>1.21375816416593</v>
      </c>
      <c r="Y113" s="36" t="n">
        <f aca="false">SUM(Y110:Y112)</f>
        <v>5665</v>
      </c>
      <c r="Z113" s="36" t="n">
        <f aca="false">SUM(Z110:Z112)</f>
        <v>5665</v>
      </c>
    </row>
    <row r="114" customFormat="false" ht="13.9" hidden="false" customHeight="true" outlineLevel="0" collapsed="false">
      <c r="A114" s="1" t="n">
        <v>1</v>
      </c>
      <c r="B114" s="1" t="n">
        <v>1</v>
      </c>
      <c r="C114" s="1" t="n">
        <v>7</v>
      </c>
      <c r="D114" s="74" t="s">
        <v>155</v>
      </c>
      <c r="E114" s="10" t="n">
        <v>610</v>
      </c>
      <c r="F114" s="10" t="s">
        <v>127</v>
      </c>
      <c r="G114" s="11" t="n">
        <v>7296.19</v>
      </c>
      <c r="H114" s="11" t="n">
        <v>2793.14</v>
      </c>
      <c r="I114" s="11" t="n">
        <v>2831</v>
      </c>
      <c r="J114" s="11" t="n">
        <v>1690.05</v>
      </c>
      <c r="K114" s="11" t="n">
        <v>2732</v>
      </c>
      <c r="L114" s="11"/>
      <c r="M114" s="11"/>
      <c r="N114" s="11" t="n">
        <v>169</v>
      </c>
      <c r="O114" s="11"/>
      <c r="P114" s="33" t="n">
        <f aca="false">K114+SUM(L114:O114)</f>
        <v>2901</v>
      </c>
      <c r="Q114" s="33" t="n">
        <v>58.65</v>
      </c>
      <c r="R114" s="34" t="n">
        <f aca="false">Q114/$P114</f>
        <v>0.0202171664943123</v>
      </c>
      <c r="S114" s="33" t="n">
        <v>363.26</v>
      </c>
      <c r="T114" s="34" t="n">
        <f aca="false">S114/$P114</f>
        <v>0.125218890037918</v>
      </c>
      <c r="U114" s="33" t="n">
        <v>549.03</v>
      </c>
      <c r="V114" s="34" t="n">
        <f aca="false">U114/$P114</f>
        <v>0.189255429162358</v>
      </c>
      <c r="W114" s="33" t="n">
        <v>1733.62</v>
      </c>
      <c r="X114" s="34" t="n">
        <f aca="false">W114/$P114</f>
        <v>0.597593933126508</v>
      </c>
      <c r="Y114" s="11" t="n">
        <v>2803</v>
      </c>
      <c r="Z114" s="11" t="n">
        <v>2876</v>
      </c>
    </row>
    <row r="115" customFormat="false" ht="13.9" hidden="false" customHeight="true" outlineLevel="0" collapsed="false">
      <c r="A115" s="1" t="n">
        <v>1</v>
      </c>
      <c r="B115" s="1" t="n">
        <v>1</v>
      </c>
      <c r="C115" s="1" t="n">
        <v>7</v>
      </c>
      <c r="D115" s="74"/>
      <c r="E115" s="10" t="n">
        <v>620</v>
      </c>
      <c r="F115" s="10" t="s">
        <v>128</v>
      </c>
      <c r="G115" s="11" t="n">
        <v>2717.55</v>
      </c>
      <c r="H115" s="11" t="n">
        <v>990.48</v>
      </c>
      <c r="I115" s="11" t="n">
        <v>1086</v>
      </c>
      <c r="J115" s="11" t="n">
        <v>709.09</v>
      </c>
      <c r="K115" s="11" t="n">
        <v>1090</v>
      </c>
      <c r="L115" s="11"/>
      <c r="M115" s="11"/>
      <c r="N115" s="11" t="n">
        <v>88</v>
      </c>
      <c r="O115" s="11" t="n">
        <v>62</v>
      </c>
      <c r="P115" s="33" t="n">
        <f aca="false">K115+SUM(L115:O115)</f>
        <v>1240</v>
      </c>
      <c r="Q115" s="33" t="n">
        <v>37.78</v>
      </c>
      <c r="R115" s="34" t="n">
        <f aca="false">Q115/$P115</f>
        <v>0.0304677419354839</v>
      </c>
      <c r="S115" s="33" t="n">
        <v>174.24</v>
      </c>
      <c r="T115" s="34" t="n">
        <f aca="false">S115/$P115</f>
        <v>0.140516129032258</v>
      </c>
      <c r="U115" s="33" t="n">
        <v>261.14</v>
      </c>
      <c r="V115" s="34" t="n">
        <f aca="false">U115/$P115</f>
        <v>0.210596774193548</v>
      </c>
      <c r="W115" s="33" t="n">
        <v>730.48</v>
      </c>
      <c r="X115" s="34" t="n">
        <f aca="false">W115/$P115</f>
        <v>0.589096774193548</v>
      </c>
      <c r="Y115" s="11" t="n">
        <v>1116</v>
      </c>
      <c r="Z115" s="11" t="n">
        <v>1145</v>
      </c>
    </row>
    <row r="116" customFormat="false" ht="13.9" hidden="false" customHeight="true" outlineLevel="0" collapsed="false">
      <c r="A116" s="1" t="n">
        <v>1</v>
      </c>
      <c r="B116" s="1" t="n">
        <v>1</v>
      </c>
      <c r="C116" s="1" t="n">
        <v>7</v>
      </c>
      <c r="D116" s="74"/>
      <c r="E116" s="10" t="n">
        <v>630</v>
      </c>
      <c r="F116" s="10" t="s">
        <v>129</v>
      </c>
      <c r="G116" s="11" t="n">
        <v>1142.66</v>
      </c>
      <c r="H116" s="11" t="n">
        <v>378.35</v>
      </c>
      <c r="I116" s="11" t="n">
        <f aca="false">1052+255</f>
        <v>1307</v>
      </c>
      <c r="J116" s="11" t="n">
        <v>1141.71</v>
      </c>
      <c r="K116" s="11" t="n">
        <f aca="false">1174+235</f>
        <v>1409</v>
      </c>
      <c r="L116" s="11"/>
      <c r="M116" s="11"/>
      <c r="N116" s="11" t="n">
        <v>666</v>
      </c>
      <c r="O116" s="11" t="n">
        <v>-670</v>
      </c>
      <c r="P116" s="33" t="n">
        <f aca="false">K116+SUM(L116:O116)</f>
        <v>1405</v>
      </c>
      <c r="Q116" s="33" t="n">
        <v>100.15</v>
      </c>
      <c r="R116" s="34" t="n">
        <f aca="false">Q116/$P116</f>
        <v>0.0712811387900356</v>
      </c>
      <c r="S116" s="33" t="n">
        <v>207.78</v>
      </c>
      <c r="T116" s="34" t="n">
        <f aca="false">S116/$P116</f>
        <v>0.147886120996441</v>
      </c>
      <c r="U116" s="33" t="n">
        <v>381.73</v>
      </c>
      <c r="V116" s="34" t="n">
        <f aca="false">U116/$P116</f>
        <v>0.271693950177936</v>
      </c>
      <c r="W116" s="33" t="n">
        <v>1184.9</v>
      </c>
      <c r="X116" s="34" t="n">
        <f aca="false">W116/$P116</f>
        <v>0.843345195729538</v>
      </c>
      <c r="Y116" s="11" t="n">
        <f aca="false">1162+235</f>
        <v>1397</v>
      </c>
      <c r="Z116" s="11" t="n">
        <f aca="false">1179+235</f>
        <v>1414</v>
      </c>
    </row>
    <row r="117" customFormat="false" ht="13.9" hidden="false" customHeight="true" outlineLevel="0" collapsed="false">
      <c r="A117" s="1" t="n">
        <v>1</v>
      </c>
      <c r="B117" s="1" t="n">
        <v>1</v>
      </c>
      <c r="C117" s="1" t="n">
        <v>7</v>
      </c>
      <c r="D117" s="74"/>
      <c r="E117" s="10" t="n">
        <v>640</v>
      </c>
      <c r="F117" s="10" t="s">
        <v>130</v>
      </c>
      <c r="G117" s="11" t="n">
        <v>0</v>
      </c>
      <c r="H117" s="11" t="n">
        <v>144.56</v>
      </c>
      <c r="I117" s="11" t="n">
        <v>0</v>
      </c>
      <c r="J117" s="11" t="n">
        <v>0</v>
      </c>
      <c r="K117" s="11" t="n">
        <v>0</v>
      </c>
      <c r="L117" s="11"/>
      <c r="M117" s="11"/>
      <c r="N117" s="11" t="n">
        <v>81</v>
      </c>
      <c r="O117" s="11"/>
      <c r="P117" s="11" t="n">
        <f aca="false">K117+SUM(L117:O117)</f>
        <v>81</v>
      </c>
      <c r="Q117" s="11" t="n">
        <v>0</v>
      </c>
      <c r="R117" s="12" t="n">
        <f aca="false">Q117/$P117</f>
        <v>0</v>
      </c>
      <c r="S117" s="11" t="n">
        <v>0</v>
      </c>
      <c r="T117" s="12" t="n">
        <f aca="false">S117/$P117</f>
        <v>0</v>
      </c>
      <c r="U117" s="11" t="n">
        <v>81.48</v>
      </c>
      <c r="V117" s="12" t="n">
        <f aca="false">U117/$P117</f>
        <v>1.00592592592593</v>
      </c>
      <c r="W117" s="11" t="n">
        <v>81.48</v>
      </c>
      <c r="X117" s="12" t="n">
        <f aca="false">W117/$P117</f>
        <v>1.00592592592593</v>
      </c>
      <c r="Y117" s="11" t="n">
        <f aca="false">K117</f>
        <v>0</v>
      </c>
      <c r="Z117" s="11" t="n">
        <f aca="false">Y117</f>
        <v>0</v>
      </c>
    </row>
    <row r="118" customFormat="false" ht="13.9" hidden="false" customHeight="true" outlineLevel="0" collapsed="false">
      <c r="A118" s="1" t="n">
        <v>1</v>
      </c>
      <c r="B118" s="1" t="n">
        <v>1</v>
      </c>
      <c r="C118" s="1" t="n">
        <v>7</v>
      </c>
      <c r="D118" s="75" t="s">
        <v>21</v>
      </c>
      <c r="E118" s="35" t="n">
        <v>41</v>
      </c>
      <c r="F118" s="35" t="s">
        <v>23</v>
      </c>
      <c r="G118" s="36" t="n">
        <f aca="false">SUM(G114:G117)</f>
        <v>11156.4</v>
      </c>
      <c r="H118" s="36" t="n">
        <f aca="false">SUM(H114:H117)</f>
        <v>4306.53</v>
      </c>
      <c r="I118" s="36" t="n">
        <f aca="false">SUM(I114:I117)</f>
        <v>5224</v>
      </c>
      <c r="J118" s="36" t="n">
        <f aca="false">SUM(J114:J117)</f>
        <v>3540.85</v>
      </c>
      <c r="K118" s="36" t="n">
        <f aca="false">SUM(K114:K117)</f>
        <v>5231</v>
      </c>
      <c r="L118" s="36" t="n">
        <f aca="false">SUM(L114:L117)</f>
        <v>0</v>
      </c>
      <c r="M118" s="36" t="n">
        <f aca="false">SUM(M114:M117)</f>
        <v>0</v>
      </c>
      <c r="N118" s="36" t="n">
        <f aca="false">SUM(N114:N117)</f>
        <v>1004</v>
      </c>
      <c r="O118" s="36" t="n">
        <f aca="false">SUM(O114:O117)</f>
        <v>-608</v>
      </c>
      <c r="P118" s="36" t="n">
        <f aca="false">SUM(P114:P117)</f>
        <v>5627</v>
      </c>
      <c r="Q118" s="36" t="n">
        <f aca="false">SUM(Q114:Q117)</f>
        <v>196.58</v>
      </c>
      <c r="R118" s="37" t="n">
        <f aca="false">Q118/$P118</f>
        <v>0.0349351341745157</v>
      </c>
      <c r="S118" s="36" t="n">
        <f aca="false">SUM(S114:S117)</f>
        <v>745.28</v>
      </c>
      <c r="T118" s="37" t="n">
        <f aca="false">S118/$P118</f>
        <v>0.132447129909366</v>
      </c>
      <c r="U118" s="36" t="n">
        <f aca="false">SUM(U114:U117)</f>
        <v>1273.38</v>
      </c>
      <c r="V118" s="37" t="n">
        <f aca="false">U118/$P118</f>
        <v>0.226298205082637</v>
      </c>
      <c r="W118" s="36" t="n">
        <f aca="false">SUM(W114:W117)</f>
        <v>3730.48</v>
      </c>
      <c r="X118" s="37" t="n">
        <f aca="false">W118/$P118</f>
        <v>0.662960725075529</v>
      </c>
      <c r="Y118" s="36" t="n">
        <f aca="false">SUM(Y114:Y117)</f>
        <v>5316</v>
      </c>
      <c r="Z118" s="36" t="n">
        <f aca="false">SUM(Z114:Z117)</f>
        <v>5435</v>
      </c>
    </row>
    <row r="119" customFormat="false" ht="13.9" hidden="false" customHeight="true" outlineLevel="0" collapsed="false">
      <c r="A119" s="1" t="n">
        <v>1</v>
      </c>
      <c r="B119" s="1" t="n">
        <v>1</v>
      </c>
      <c r="C119" s="1" t="n">
        <v>7</v>
      </c>
      <c r="D119" s="68" t="s">
        <v>155</v>
      </c>
      <c r="E119" s="10" t="n">
        <v>640</v>
      </c>
      <c r="F119" s="10" t="s">
        <v>130</v>
      </c>
      <c r="G119" s="11" t="n">
        <v>119.31</v>
      </c>
      <c r="H119" s="11" t="n">
        <v>54.6</v>
      </c>
      <c r="I119" s="11" t="n">
        <v>55</v>
      </c>
      <c r="J119" s="11" t="n">
        <v>66.44</v>
      </c>
      <c r="K119" s="11" t="n">
        <v>66</v>
      </c>
      <c r="L119" s="11"/>
      <c r="M119" s="11"/>
      <c r="N119" s="11"/>
      <c r="O119" s="11" t="n">
        <v>2</v>
      </c>
      <c r="P119" s="11" t="n">
        <f aca="false">K119+SUM(L119:O119)</f>
        <v>68</v>
      </c>
      <c r="Q119" s="11" t="n">
        <v>0</v>
      </c>
      <c r="R119" s="12" t="n">
        <f aca="false">Q119/$P119</f>
        <v>0</v>
      </c>
      <c r="S119" s="11" t="n">
        <v>0</v>
      </c>
      <c r="T119" s="12" t="n">
        <f aca="false">S119/$P119</f>
        <v>0</v>
      </c>
      <c r="U119" s="11" t="n">
        <v>0</v>
      </c>
      <c r="V119" s="12" t="n">
        <f aca="false">U119/$P119</f>
        <v>0</v>
      </c>
      <c r="W119" s="11" t="n">
        <v>67.86</v>
      </c>
      <c r="X119" s="12" t="n">
        <f aca="false">W119/$P119</f>
        <v>0.997941176470588</v>
      </c>
      <c r="Y119" s="11" t="n">
        <f aca="false">K119</f>
        <v>66</v>
      </c>
      <c r="Z119" s="11" t="n">
        <f aca="false">Y119</f>
        <v>66</v>
      </c>
    </row>
    <row r="120" customFormat="false" ht="13.9" hidden="false" customHeight="true" outlineLevel="0" collapsed="false">
      <c r="A120" s="1" t="n">
        <v>1</v>
      </c>
      <c r="B120" s="1" t="n">
        <v>1</v>
      </c>
      <c r="C120" s="1" t="n">
        <v>7</v>
      </c>
      <c r="D120" s="75" t="s">
        <v>21</v>
      </c>
      <c r="E120" s="35" t="n">
        <v>72</v>
      </c>
      <c r="F120" s="35" t="s">
        <v>25</v>
      </c>
      <c r="G120" s="36" t="n">
        <f aca="false">SUM(G119:G119)</f>
        <v>119.31</v>
      </c>
      <c r="H120" s="36" t="n">
        <f aca="false">SUM(H119:H119)</f>
        <v>54.6</v>
      </c>
      <c r="I120" s="36" t="n">
        <f aca="false">SUM(I119:I119)</f>
        <v>55</v>
      </c>
      <c r="J120" s="36" t="n">
        <f aca="false">SUM(J119:J119)</f>
        <v>66.44</v>
      </c>
      <c r="K120" s="36" t="n">
        <f aca="false">SUM(K119:K119)</f>
        <v>66</v>
      </c>
      <c r="L120" s="36" t="n">
        <f aca="false">SUM(L119:L119)</f>
        <v>0</v>
      </c>
      <c r="M120" s="36" t="n">
        <f aca="false">SUM(M119:M119)</f>
        <v>0</v>
      </c>
      <c r="N120" s="36" t="n">
        <f aca="false">SUM(N119:N119)</f>
        <v>0</v>
      </c>
      <c r="O120" s="36" t="n">
        <f aca="false">SUM(O119:O119)</f>
        <v>2</v>
      </c>
      <c r="P120" s="36" t="n">
        <f aca="false">SUM(P119:P119)</f>
        <v>68</v>
      </c>
      <c r="Q120" s="36" t="n">
        <f aca="false">SUM(Q119:Q119)</f>
        <v>0</v>
      </c>
      <c r="R120" s="37" t="n">
        <f aca="false">Q120/$P120</f>
        <v>0</v>
      </c>
      <c r="S120" s="36" t="n">
        <f aca="false">SUM(S119:S119)</f>
        <v>0</v>
      </c>
      <c r="T120" s="37" t="n">
        <f aca="false">S120/$P120</f>
        <v>0</v>
      </c>
      <c r="U120" s="36" t="n">
        <f aca="false">SUM(U119:U119)</f>
        <v>0</v>
      </c>
      <c r="V120" s="37" t="n">
        <f aca="false">U120/$P120</f>
        <v>0</v>
      </c>
      <c r="W120" s="36" t="n">
        <f aca="false">SUM(W119:W119)</f>
        <v>67.86</v>
      </c>
      <c r="X120" s="37" t="n">
        <f aca="false">W120/$P120</f>
        <v>0.997941176470588</v>
      </c>
      <c r="Y120" s="36" t="n">
        <f aca="false">SUM(Y119:Y119)</f>
        <v>66</v>
      </c>
      <c r="Z120" s="36" t="n">
        <f aca="false">SUM(Z119:Z119)</f>
        <v>66</v>
      </c>
    </row>
    <row r="121" customFormat="false" ht="13.9" hidden="false" customHeight="true" outlineLevel="0" collapsed="false">
      <c r="A121" s="1" t="n">
        <v>1</v>
      </c>
      <c r="B121" s="1" t="n">
        <v>1</v>
      </c>
      <c r="C121" s="1" t="n">
        <v>7</v>
      </c>
      <c r="D121" s="17"/>
      <c r="E121" s="18"/>
      <c r="F121" s="13" t="s">
        <v>122</v>
      </c>
      <c r="G121" s="14" t="n">
        <f aca="false">G113+G118+G120</f>
        <v>17477.06</v>
      </c>
      <c r="H121" s="14" t="n">
        <f aca="false">H113+H118+H120</f>
        <v>11062.37</v>
      </c>
      <c r="I121" s="14" t="n">
        <f aca="false">I113+I118+I120</f>
        <v>10840</v>
      </c>
      <c r="J121" s="14" t="n">
        <f aca="false">J113+J118+J120</f>
        <v>10355.29</v>
      </c>
      <c r="K121" s="14" t="n">
        <f aca="false">K113+K118+K120</f>
        <v>10962</v>
      </c>
      <c r="L121" s="14" t="n">
        <f aca="false">L113+L118+L120</f>
        <v>0</v>
      </c>
      <c r="M121" s="14" t="n">
        <f aca="false">M113+M118+M120</f>
        <v>0</v>
      </c>
      <c r="N121" s="14" t="n">
        <f aca="false">N113+N118+N120</f>
        <v>1004</v>
      </c>
      <c r="O121" s="14" t="n">
        <f aca="false">O113+O118+O120</f>
        <v>-606</v>
      </c>
      <c r="P121" s="14" t="n">
        <f aca="false">P113+P118+P120</f>
        <v>11360</v>
      </c>
      <c r="Q121" s="14" t="n">
        <f aca="false">Q113+Q118+Q120</f>
        <v>1920.5</v>
      </c>
      <c r="R121" s="15" t="n">
        <f aca="false">Q121/$P121</f>
        <v>0.169058098591549</v>
      </c>
      <c r="S121" s="14" t="n">
        <f aca="false">S113+S118+S120</f>
        <v>4004.86</v>
      </c>
      <c r="T121" s="15" t="n">
        <f aca="false">S121/$P121</f>
        <v>0.352540492957747</v>
      </c>
      <c r="U121" s="14" t="n">
        <f aca="false">U113+U118+U120</f>
        <v>6022.48</v>
      </c>
      <c r="V121" s="15" t="n">
        <f aca="false">U121/$P121</f>
        <v>0.530147887323944</v>
      </c>
      <c r="W121" s="14" t="n">
        <f aca="false">W113+W118+W120</f>
        <v>10674.28</v>
      </c>
      <c r="X121" s="15" t="n">
        <f aca="false">W121/$P121</f>
        <v>0.939637323943662</v>
      </c>
      <c r="Y121" s="14" t="n">
        <f aca="false">Y113+Y118+Y120</f>
        <v>11047</v>
      </c>
      <c r="Z121" s="14" t="n">
        <f aca="false">Z113+Z118+Z120</f>
        <v>11166</v>
      </c>
    </row>
    <row r="123" customFormat="false" ht="13.9" hidden="false" customHeight="true" outlineLevel="0" collapsed="false">
      <c r="D123" s="28" t="s">
        <v>156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customFormat="false" ht="13.9" hidden="false" customHeight="true" outlineLevel="0" collapsed="false">
      <c r="D124" s="7" t="s">
        <v>33</v>
      </c>
      <c r="E124" s="7" t="s">
        <v>34</v>
      </c>
      <c r="F124" s="7" t="s">
        <v>35</v>
      </c>
      <c r="G124" s="7" t="s">
        <v>1</v>
      </c>
      <c r="H124" s="7" t="s">
        <v>2</v>
      </c>
      <c r="I124" s="7" t="s">
        <v>3</v>
      </c>
      <c r="J124" s="7" t="s">
        <v>4</v>
      </c>
      <c r="K124" s="7" t="s">
        <v>5</v>
      </c>
      <c r="L124" s="7" t="s">
        <v>6</v>
      </c>
      <c r="M124" s="7" t="s">
        <v>7</v>
      </c>
      <c r="N124" s="7" t="s">
        <v>8</v>
      </c>
      <c r="O124" s="7" t="s">
        <v>9</v>
      </c>
      <c r="P124" s="7" t="s">
        <v>10</v>
      </c>
      <c r="Q124" s="7" t="s">
        <v>11</v>
      </c>
      <c r="R124" s="8" t="s">
        <v>12</v>
      </c>
      <c r="S124" s="7" t="s">
        <v>13</v>
      </c>
      <c r="T124" s="8" t="s">
        <v>14</v>
      </c>
      <c r="U124" s="7" t="s">
        <v>15</v>
      </c>
      <c r="V124" s="8" t="s">
        <v>16</v>
      </c>
      <c r="W124" s="7" t="s">
        <v>17</v>
      </c>
      <c r="X124" s="8" t="s">
        <v>18</v>
      </c>
      <c r="Y124" s="7" t="s">
        <v>19</v>
      </c>
      <c r="Z124" s="7" t="s">
        <v>20</v>
      </c>
    </row>
    <row r="125" customFormat="false" ht="13.9" hidden="false" customHeight="true" outlineLevel="0" collapsed="false">
      <c r="A125" s="1" t="n">
        <v>1</v>
      </c>
      <c r="B125" s="1" t="n">
        <v>2</v>
      </c>
      <c r="D125" s="10" t="s">
        <v>126</v>
      </c>
      <c r="E125" s="10" t="n">
        <v>640</v>
      </c>
      <c r="F125" s="10" t="s">
        <v>91</v>
      </c>
      <c r="G125" s="11" t="n">
        <v>4254.03</v>
      </c>
      <c r="H125" s="11" t="n">
        <v>4719.74</v>
      </c>
      <c r="I125" s="11" t="n">
        <f aca="false">príjmy!F108+príjmy!F109</f>
        <v>4242</v>
      </c>
      <c r="J125" s="11" t="n">
        <v>4241.95</v>
      </c>
      <c r="K125" s="11" t="n">
        <v>4242</v>
      </c>
      <c r="L125" s="11"/>
      <c r="M125" s="11" t="n">
        <v>11</v>
      </c>
      <c r="N125" s="11"/>
      <c r="O125" s="11"/>
      <c r="P125" s="11" t="n">
        <f aca="false">K125+SUM(L125:O125)</f>
        <v>4253</v>
      </c>
      <c r="Q125" s="11" t="n">
        <v>0</v>
      </c>
      <c r="R125" s="12" t="n">
        <f aca="false">Q125/$P125</f>
        <v>0</v>
      </c>
      <c r="S125" s="11" t="n">
        <v>4253.44</v>
      </c>
      <c r="T125" s="12" t="n">
        <f aca="false">S125/$P125</f>
        <v>1.00010345638373</v>
      </c>
      <c r="U125" s="11" t="n">
        <v>4253.44</v>
      </c>
      <c r="V125" s="12" t="n">
        <f aca="false">U125/$P125</f>
        <v>1.00010345638373</v>
      </c>
      <c r="W125" s="11" t="n">
        <v>4253.44</v>
      </c>
      <c r="X125" s="12" t="n">
        <f aca="false">W125/$P125</f>
        <v>1.00010345638373</v>
      </c>
      <c r="Y125" s="11" t="n">
        <f aca="false">príjmy!V108+príjmy!V109</f>
        <v>4242</v>
      </c>
      <c r="Z125" s="11" t="n">
        <f aca="false">príjmy!W108+príjmy!W109</f>
        <v>4242</v>
      </c>
    </row>
    <row r="126" customFormat="false" ht="13.9" hidden="false" customHeight="true" outlineLevel="0" collapsed="false">
      <c r="A126" s="1" t="n">
        <v>1</v>
      </c>
      <c r="B126" s="1" t="n">
        <v>2</v>
      </c>
      <c r="D126" s="75" t="s">
        <v>21</v>
      </c>
      <c r="E126" s="35" t="n">
        <v>111</v>
      </c>
      <c r="F126" s="35" t="s">
        <v>132</v>
      </c>
      <c r="G126" s="36" t="n">
        <f aca="false">SUM(G125)</f>
        <v>4254.03</v>
      </c>
      <c r="H126" s="36" t="n">
        <f aca="false">SUM(H125)</f>
        <v>4719.74</v>
      </c>
      <c r="I126" s="36" t="n">
        <f aca="false">SUM(I125)</f>
        <v>4242</v>
      </c>
      <c r="J126" s="36" t="n">
        <f aca="false">SUM(J125)</f>
        <v>4241.95</v>
      </c>
      <c r="K126" s="36" t="n">
        <f aca="false">SUM(K125)</f>
        <v>4242</v>
      </c>
      <c r="L126" s="36" t="n">
        <f aca="false">SUM(L125)</f>
        <v>0</v>
      </c>
      <c r="M126" s="36" t="n">
        <f aca="false">SUM(M125)</f>
        <v>11</v>
      </c>
      <c r="N126" s="36" t="n">
        <f aca="false">SUM(N125)</f>
        <v>0</v>
      </c>
      <c r="O126" s="36" t="n">
        <f aca="false">SUM(O125)</f>
        <v>0</v>
      </c>
      <c r="P126" s="36" t="n">
        <f aca="false">SUM(P125)</f>
        <v>4253</v>
      </c>
      <c r="Q126" s="36" t="n">
        <f aca="false">SUM(Q125)</f>
        <v>0</v>
      </c>
      <c r="R126" s="37" t="n">
        <f aca="false">Q126/$P126</f>
        <v>0</v>
      </c>
      <c r="S126" s="36" t="n">
        <f aca="false">SUM(S125)</f>
        <v>4253.44</v>
      </c>
      <c r="T126" s="37" t="n">
        <f aca="false">S126/$P126</f>
        <v>1.00010345638373</v>
      </c>
      <c r="U126" s="36" t="n">
        <f aca="false">SUM(U125)</f>
        <v>4253.44</v>
      </c>
      <c r="V126" s="37" t="n">
        <f aca="false">U126/$P126</f>
        <v>1.00010345638373</v>
      </c>
      <c r="W126" s="36" t="n">
        <f aca="false">SUM(W125)</f>
        <v>4253.44</v>
      </c>
      <c r="X126" s="37" t="n">
        <f aca="false">W126/$P126</f>
        <v>1.00010345638373</v>
      </c>
      <c r="Y126" s="36" t="n">
        <f aca="false">SUM(Y125)</f>
        <v>4242</v>
      </c>
      <c r="Z126" s="36" t="n">
        <f aca="false">SUM(Z125)</f>
        <v>4242</v>
      </c>
    </row>
    <row r="127" customFormat="false" ht="13.9" hidden="false" customHeight="true" outlineLevel="0" collapsed="false">
      <c r="A127" s="1" t="n">
        <v>1</v>
      </c>
      <c r="B127" s="1" t="n">
        <v>2</v>
      </c>
      <c r="D127" s="30" t="s">
        <v>157</v>
      </c>
      <c r="E127" s="10" t="n">
        <v>640</v>
      </c>
      <c r="F127" s="10" t="s">
        <v>158</v>
      </c>
      <c r="G127" s="11" t="n">
        <v>368.86</v>
      </c>
      <c r="H127" s="11" t="n">
        <v>215.58</v>
      </c>
      <c r="I127" s="11" t="n">
        <v>196</v>
      </c>
      <c r="J127" s="11" t="n">
        <v>196.32</v>
      </c>
      <c r="K127" s="11" t="n">
        <v>231</v>
      </c>
      <c r="L127" s="11"/>
      <c r="M127" s="11"/>
      <c r="N127" s="11"/>
      <c r="O127" s="11"/>
      <c r="P127" s="11" t="n">
        <f aca="false">K127+SUM(L127:O127)</f>
        <v>231</v>
      </c>
      <c r="Q127" s="11" t="n">
        <v>115.5</v>
      </c>
      <c r="R127" s="12" t="n">
        <f aca="false">Q127/$P127</f>
        <v>0.5</v>
      </c>
      <c r="S127" s="11" t="n">
        <v>115.5</v>
      </c>
      <c r="T127" s="12" t="n">
        <f aca="false">S127/$P127</f>
        <v>0.5</v>
      </c>
      <c r="U127" s="11" t="n">
        <v>230.99</v>
      </c>
      <c r="V127" s="12" t="n">
        <f aca="false">U127/$P127</f>
        <v>0.99995670995671</v>
      </c>
      <c r="W127" s="11" t="n">
        <v>230.99</v>
      </c>
      <c r="X127" s="12" t="n">
        <f aca="false">W127/$P127</f>
        <v>0.99995670995671</v>
      </c>
      <c r="Y127" s="11" t="n">
        <f aca="false">K127</f>
        <v>231</v>
      </c>
      <c r="Z127" s="11" t="n">
        <f aca="false">Y127</f>
        <v>231</v>
      </c>
    </row>
    <row r="128" customFormat="false" ht="13.9" hidden="false" customHeight="true" outlineLevel="0" collapsed="false">
      <c r="A128" s="1" t="n">
        <v>1</v>
      </c>
      <c r="B128" s="1" t="n">
        <v>2</v>
      </c>
      <c r="D128" s="10" t="s">
        <v>126</v>
      </c>
      <c r="E128" s="10" t="n">
        <v>640</v>
      </c>
      <c r="F128" s="10" t="s">
        <v>91</v>
      </c>
      <c r="G128" s="11" t="n">
        <v>6712.81</v>
      </c>
      <c r="H128" s="11" t="n">
        <v>10026.26</v>
      </c>
      <c r="I128" s="11" t="n">
        <v>10885</v>
      </c>
      <c r="J128" s="11" t="n">
        <v>10885.05</v>
      </c>
      <c r="K128" s="11" t="n">
        <v>11767</v>
      </c>
      <c r="L128" s="11"/>
      <c r="M128" s="11"/>
      <c r="N128" s="11"/>
      <c r="O128" s="11"/>
      <c r="P128" s="11" t="n">
        <f aca="false">K128+SUM(L128:O128)</f>
        <v>11767</v>
      </c>
      <c r="Q128" s="11" t="n">
        <v>4002.14</v>
      </c>
      <c r="R128" s="12" t="n">
        <f aca="false">Q128/$P128</f>
        <v>0.340115577462395</v>
      </c>
      <c r="S128" s="11" t="n">
        <v>3750.84</v>
      </c>
      <c r="T128" s="12" t="n">
        <f aca="false">S128/$P128</f>
        <v>0.31875924194782</v>
      </c>
      <c r="U128" s="11" t="n">
        <v>7752.98</v>
      </c>
      <c r="V128" s="12" t="n">
        <f aca="false">U128/$P128</f>
        <v>0.658874819410215</v>
      </c>
      <c r="W128" s="11" t="n">
        <v>11755.13</v>
      </c>
      <c r="X128" s="12" t="n">
        <f aca="false">W128/$P128</f>
        <v>0.998991246706892</v>
      </c>
      <c r="Y128" s="11" t="n">
        <f aca="false">K128</f>
        <v>11767</v>
      </c>
      <c r="Z128" s="11" t="n">
        <f aca="false">Y128</f>
        <v>11767</v>
      </c>
    </row>
    <row r="129" customFormat="false" ht="13.9" hidden="false" customHeight="true" outlineLevel="0" collapsed="false">
      <c r="A129" s="1" t="n">
        <v>1</v>
      </c>
      <c r="B129" s="1" t="n">
        <v>2</v>
      </c>
      <c r="D129" s="75" t="s">
        <v>21</v>
      </c>
      <c r="E129" s="35" t="n">
        <v>41</v>
      </c>
      <c r="F129" s="35" t="s">
        <v>23</v>
      </c>
      <c r="G129" s="36" t="n">
        <f aca="false">SUM(G127:G128)</f>
        <v>7081.67</v>
      </c>
      <c r="H129" s="36" t="n">
        <f aca="false">SUM(H127:H128)</f>
        <v>10241.84</v>
      </c>
      <c r="I129" s="36" t="n">
        <f aca="false">SUM(I127:I128)</f>
        <v>11081</v>
      </c>
      <c r="J129" s="36" t="n">
        <f aca="false">SUM(J127:J128)</f>
        <v>11081.37</v>
      </c>
      <c r="K129" s="36" t="n">
        <f aca="false">SUM(K127:K128)</f>
        <v>11998</v>
      </c>
      <c r="L129" s="36" t="n">
        <f aca="false">SUM(L127:L128)</f>
        <v>0</v>
      </c>
      <c r="M129" s="36" t="n">
        <f aca="false">SUM(M127:M128)</f>
        <v>0</v>
      </c>
      <c r="N129" s="36" t="n">
        <f aca="false">SUM(N127:N128)</f>
        <v>0</v>
      </c>
      <c r="O129" s="36" t="n">
        <f aca="false">SUM(O127:O128)</f>
        <v>0</v>
      </c>
      <c r="P129" s="36" t="n">
        <f aca="false">SUM(P127:P128)</f>
        <v>11998</v>
      </c>
      <c r="Q129" s="36" t="n">
        <f aca="false">SUM(Q127:Q128)</f>
        <v>4117.64</v>
      </c>
      <c r="R129" s="37" t="n">
        <f aca="false">Q129/$P129</f>
        <v>0.343193865644274</v>
      </c>
      <c r="S129" s="36" t="n">
        <f aca="false">SUM(S127:S128)</f>
        <v>3866.34</v>
      </c>
      <c r="T129" s="37" t="n">
        <f aca="false">S129/$P129</f>
        <v>0.32224870811802</v>
      </c>
      <c r="U129" s="36" t="n">
        <f aca="false">SUM(U127:U128)</f>
        <v>7983.97</v>
      </c>
      <c r="V129" s="37" t="n">
        <f aca="false">U129/$P129</f>
        <v>0.665441740290048</v>
      </c>
      <c r="W129" s="36" t="n">
        <f aca="false">SUM(W127:W128)</f>
        <v>11986.12</v>
      </c>
      <c r="X129" s="37" t="n">
        <f aca="false">W129/$P129</f>
        <v>0.999009834972495</v>
      </c>
      <c r="Y129" s="36" t="n">
        <f aca="false">SUM(Y127:Y128)</f>
        <v>11998</v>
      </c>
      <c r="Z129" s="36" t="n">
        <f aca="false">SUM(Z127:Z128)</f>
        <v>11998</v>
      </c>
    </row>
    <row r="130" customFormat="false" ht="13.9" hidden="false" customHeight="true" outlineLevel="0" collapsed="false">
      <c r="A130" s="1" t="n">
        <v>1</v>
      </c>
      <c r="B130" s="1" t="n">
        <v>2</v>
      </c>
      <c r="D130" s="17"/>
      <c r="E130" s="18"/>
      <c r="F130" s="13" t="s">
        <v>122</v>
      </c>
      <c r="G130" s="14" t="n">
        <f aca="false">G126+G129</f>
        <v>11335.7</v>
      </c>
      <c r="H130" s="14" t="n">
        <f aca="false">H126+H129</f>
        <v>14961.58</v>
      </c>
      <c r="I130" s="14" t="n">
        <f aca="false">I126+I129</f>
        <v>15323</v>
      </c>
      <c r="J130" s="14" t="n">
        <f aca="false">J126+J129</f>
        <v>15323.32</v>
      </c>
      <c r="K130" s="14" t="n">
        <f aca="false">K126+K129</f>
        <v>16240</v>
      </c>
      <c r="L130" s="14" t="n">
        <f aca="false">L126+L129</f>
        <v>0</v>
      </c>
      <c r="M130" s="14" t="n">
        <f aca="false">M126+M129</f>
        <v>11</v>
      </c>
      <c r="N130" s="14" t="n">
        <f aca="false">N126+N129</f>
        <v>0</v>
      </c>
      <c r="O130" s="14" t="n">
        <f aca="false">O126+O129</f>
        <v>0</v>
      </c>
      <c r="P130" s="14" t="n">
        <f aca="false">P126+P129</f>
        <v>16251</v>
      </c>
      <c r="Q130" s="14" t="n">
        <f aca="false">Q126+Q129</f>
        <v>4117.64</v>
      </c>
      <c r="R130" s="15" t="n">
        <f aca="false">Q130/$P130</f>
        <v>0.253377638299182</v>
      </c>
      <c r="S130" s="14" t="n">
        <f aca="false">S126+S129</f>
        <v>8119.78</v>
      </c>
      <c r="T130" s="15" t="n">
        <f aca="false">S130/$P130</f>
        <v>0.499648021660206</v>
      </c>
      <c r="U130" s="14" t="n">
        <f aca="false">U126+U129</f>
        <v>12237.41</v>
      </c>
      <c r="V130" s="15" t="n">
        <f aca="false">U130/$P130</f>
        <v>0.753025044612639</v>
      </c>
      <c r="W130" s="14" t="n">
        <f aca="false">W126+W129</f>
        <v>16239.56</v>
      </c>
      <c r="X130" s="15" t="n">
        <f aca="false">W130/$P130</f>
        <v>0.999296043320411</v>
      </c>
      <c r="Y130" s="14" t="n">
        <f aca="false">Y126+Y129</f>
        <v>16240</v>
      </c>
      <c r="Z130" s="14" t="n">
        <f aca="false">Z126+Z129</f>
        <v>16240</v>
      </c>
    </row>
    <row r="132" customFormat="false" ht="13.9" hidden="false" customHeight="true" outlineLevel="0" collapsed="false">
      <c r="D132" s="28" t="s">
        <v>159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customFormat="false" ht="13.9" hidden="false" customHeight="true" outlineLevel="0" collapsed="false">
      <c r="D133" s="7" t="s">
        <v>33</v>
      </c>
      <c r="E133" s="7" t="s">
        <v>34</v>
      </c>
      <c r="F133" s="7" t="s">
        <v>35</v>
      </c>
      <c r="G133" s="7" t="s">
        <v>1</v>
      </c>
      <c r="H133" s="7" t="s">
        <v>2</v>
      </c>
      <c r="I133" s="7" t="s">
        <v>3</v>
      </c>
      <c r="J133" s="7" t="s">
        <v>4</v>
      </c>
      <c r="K133" s="7" t="s">
        <v>5</v>
      </c>
      <c r="L133" s="7" t="s">
        <v>6</v>
      </c>
      <c r="M133" s="7" t="s">
        <v>7</v>
      </c>
      <c r="N133" s="7" t="s">
        <v>8</v>
      </c>
      <c r="O133" s="7" t="s">
        <v>9</v>
      </c>
      <c r="P133" s="7" t="s">
        <v>10</v>
      </c>
      <c r="Q133" s="7" t="s">
        <v>11</v>
      </c>
      <c r="R133" s="8" t="s">
        <v>12</v>
      </c>
      <c r="S133" s="7" t="s">
        <v>13</v>
      </c>
      <c r="T133" s="8" t="s">
        <v>14</v>
      </c>
      <c r="U133" s="7" t="s">
        <v>15</v>
      </c>
      <c r="V133" s="8" t="s">
        <v>16</v>
      </c>
      <c r="W133" s="7" t="s">
        <v>17</v>
      </c>
      <c r="X133" s="8" t="s">
        <v>18</v>
      </c>
      <c r="Y133" s="7" t="s">
        <v>19</v>
      </c>
      <c r="Z133" s="7" t="s">
        <v>20</v>
      </c>
    </row>
    <row r="134" customFormat="false" ht="13.9" hidden="false" customHeight="true" outlineLevel="0" collapsed="false">
      <c r="A134" s="1" t="n">
        <v>1</v>
      </c>
      <c r="B134" s="1" t="n">
        <v>3</v>
      </c>
      <c r="D134" s="10" t="s">
        <v>160</v>
      </c>
      <c r="E134" s="10" t="n">
        <v>630</v>
      </c>
      <c r="F134" s="10" t="s">
        <v>161</v>
      </c>
      <c r="G134" s="11" t="n">
        <v>288</v>
      </c>
      <c r="H134" s="11" t="n">
        <v>9816.96</v>
      </c>
      <c r="I134" s="11" t="n">
        <v>5660</v>
      </c>
      <c r="J134" s="11" t="n">
        <v>2730.72</v>
      </c>
      <c r="K134" s="11" t="n">
        <v>6300</v>
      </c>
      <c r="L134" s="11"/>
      <c r="M134" s="11" t="n">
        <v>-5820</v>
      </c>
      <c r="N134" s="11"/>
      <c r="O134" s="11"/>
      <c r="P134" s="11" t="n">
        <f aca="false">K134+SUM(L134:O134)</f>
        <v>480</v>
      </c>
      <c r="Q134" s="11" t="n">
        <v>240</v>
      </c>
      <c r="R134" s="12" t="n">
        <f aca="false">Q134/$P134</f>
        <v>0.5</v>
      </c>
      <c r="S134" s="11" t="n">
        <v>240</v>
      </c>
      <c r="T134" s="12" t="n">
        <f aca="false">S134/$P134</f>
        <v>0.5</v>
      </c>
      <c r="U134" s="11" t="n">
        <v>240</v>
      </c>
      <c r="V134" s="12" t="n">
        <f aca="false">U134/$P134</f>
        <v>0.5</v>
      </c>
      <c r="W134" s="11" t="n">
        <v>480</v>
      </c>
      <c r="X134" s="12" t="n">
        <f aca="false">W134/$P134</f>
        <v>1</v>
      </c>
      <c r="Y134" s="11" t="n">
        <f aca="false">K134</f>
        <v>6300</v>
      </c>
      <c r="Z134" s="11" t="n">
        <f aca="false">Y134</f>
        <v>6300</v>
      </c>
    </row>
    <row r="135" customFormat="false" ht="13.9" hidden="true" customHeight="true" outlineLevel="0" collapsed="false">
      <c r="A135" s="1" t="n">
        <v>1</v>
      </c>
      <c r="B135" s="1" t="n">
        <v>3</v>
      </c>
      <c r="D135" s="68" t="s">
        <v>162</v>
      </c>
      <c r="E135" s="10" t="n">
        <v>630</v>
      </c>
      <c r="F135" s="10" t="s">
        <v>163</v>
      </c>
      <c r="G135" s="11" t="n">
        <v>161</v>
      </c>
      <c r="H135" s="11" t="n">
        <v>0</v>
      </c>
      <c r="I135" s="11" t="n">
        <v>0</v>
      </c>
      <c r="J135" s="11" t="n">
        <v>0</v>
      </c>
      <c r="K135" s="11" t="n">
        <v>0</v>
      </c>
      <c r="L135" s="11"/>
      <c r="M135" s="11"/>
      <c r="N135" s="11"/>
      <c r="O135" s="11"/>
      <c r="P135" s="11" t="n">
        <v>0</v>
      </c>
      <c r="Q135" s="11" t="n">
        <v>0</v>
      </c>
      <c r="R135" s="12" t="e">
        <f aca="false">Q135/$P135</f>
        <v>#DIV/0!</v>
      </c>
      <c r="S135" s="11" t="n">
        <v>0</v>
      </c>
      <c r="T135" s="12" t="e">
        <f aca="false">S135/$P135</f>
        <v>#DIV/0!</v>
      </c>
      <c r="U135" s="11" t="n">
        <v>0</v>
      </c>
      <c r="V135" s="12" t="e">
        <f aca="false">U135/$P135</f>
        <v>#DIV/0!</v>
      </c>
      <c r="W135" s="11" t="n">
        <v>0</v>
      </c>
      <c r="X135" s="12" t="e">
        <f aca="false">W135/$P135</f>
        <v>#DIV/0!</v>
      </c>
      <c r="Y135" s="11" t="n">
        <f aca="false">K135</f>
        <v>0</v>
      </c>
      <c r="Z135" s="11" t="n">
        <f aca="false">Y135</f>
        <v>0</v>
      </c>
    </row>
    <row r="136" customFormat="false" ht="13.9" hidden="false" customHeight="true" outlineLevel="0" collapsed="false">
      <c r="A136" s="1" t="n">
        <v>1</v>
      </c>
      <c r="B136" s="1" t="n">
        <v>3</v>
      </c>
      <c r="D136" s="30" t="s">
        <v>126</v>
      </c>
      <c r="E136" s="10" t="n">
        <v>630</v>
      </c>
      <c r="F136" s="10" t="s">
        <v>129</v>
      </c>
      <c r="G136" s="11" t="n">
        <v>1858.55</v>
      </c>
      <c r="H136" s="11" t="n">
        <v>3703.18</v>
      </c>
      <c r="I136" s="11" t="n">
        <v>3647</v>
      </c>
      <c r="J136" s="11" t="n">
        <v>2156.6</v>
      </c>
      <c r="K136" s="11" t="n">
        <v>1713</v>
      </c>
      <c r="L136" s="11"/>
      <c r="M136" s="11"/>
      <c r="N136" s="11" t="n">
        <v>79</v>
      </c>
      <c r="O136" s="11" t="n">
        <v>174</v>
      </c>
      <c r="P136" s="11" t="n">
        <f aca="false">K136+SUM(L136:O136)</f>
        <v>1966</v>
      </c>
      <c r="Q136" s="11" t="n">
        <v>529.12</v>
      </c>
      <c r="R136" s="12" t="n">
        <f aca="false">Q136/$P136</f>
        <v>0.269135300101729</v>
      </c>
      <c r="S136" s="11" t="n">
        <v>1090.12</v>
      </c>
      <c r="T136" s="12" t="n">
        <f aca="false">S136/$P136</f>
        <v>0.554486266531027</v>
      </c>
      <c r="U136" s="11" t="n">
        <v>1399.55</v>
      </c>
      <c r="V136" s="12" t="n">
        <f aca="false">U136/$P136</f>
        <v>0.711876907426246</v>
      </c>
      <c r="W136" s="11" t="n">
        <v>1964.38</v>
      </c>
      <c r="X136" s="12" t="n">
        <f aca="false">W136/$P136</f>
        <v>0.999175991861648</v>
      </c>
      <c r="Y136" s="11" t="n">
        <f aca="false">K136</f>
        <v>1713</v>
      </c>
      <c r="Z136" s="11" t="n">
        <f aca="false">Y136</f>
        <v>1713</v>
      </c>
    </row>
    <row r="137" customFormat="false" ht="13.9" hidden="false" customHeight="true" outlineLevel="0" collapsed="false">
      <c r="A137" s="1" t="n">
        <v>1</v>
      </c>
      <c r="B137" s="1" t="n">
        <v>3</v>
      </c>
      <c r="D137" s="67" t="s">
        <v>21</v>
      </c>
      <c r="E137" s="13" t="n">
        <v>41</v>
      </c>
      <c r="F137" s="13" t="s">
        <v>23</v>
      </c>
      <c r="G137" s="14" t="n">
        <f aca="false">SUM(G134:G136)</f>
        <v>2307.55</v>
      </c>
      <c r="H137" s="14" t="n">
        <f aca="false">SUM(H134:H136)</f>
        <v>13520.14</v>
      </c>
      <c r="I137" s="14" t="n">
        <f aca="false">SUM(I134:I136)</f>
        <v>9307</v>
      </c>
      <c r="J137" s="14" t="n">
        <f aca="false">SUM(J134:J136)</f>
        <v>4887.32</v>
      </c>
      <c r="K137" s="14" t="n">
        <f aca="false">SUM(K134:K136)</f>
        <v>8013</v>
      </c>
      <c r="L137" s="14" t="n">
        <f aca="false">SUM(L134:L136)</f>
        <v>0</v>
      </c>
      <c r="M137" s="14" t="n">
        <f aca="false">SUM(M134:M136)</f>
        <v>-5820</v>
      </c>
      <c r="N137" s="14" t="n">
        <f aca="false">SUM(N134:N136)</f>
        <v>79</v>
      </c>
      <c r="O137" s="14" t="n">
        <f aca="false">SUM(O134:O136)</f>
        <v>174</v>
      </c>
      <c r="P137" s="14" t="n">
        <f aca="false">SUM(P134:P136)</f>
        <v>2446</v>
      </c>
      <c r="Q137" s="14" t="n">
        <f aca="false">SUM(Q134:Q136)</f>
        <v>769.12</v>
      </c>
      <c r="R137" s="15" t="n">
        <f aca="false">Q137/$P137</f>
        <v>0.314439901880621</v>
      </c>
      <c r="S137" s="14" t="n">
        <f aca="false">SUM(S134:S136)</f>
        <v>1330.12</v>
      </c>
      <c r="T137" s="15" t="n">
        <f aca="false">S137/$P137</f>
        <v>0.543793949304988</v>
      </c>
      <c r="U137" s="14" t="n">
        <f aca="false">SUM(U134:U136)</f>
        <v>1639.55</v>
      </c>
      <c r="V137" s="15" t="n">
        <f aca="false">U137/$P137</f>
        <v>0.670298446443173</v>
      </c>
      <c r="W137" s="14" t="n">
        <f aca="false">SUM(W134:W136)</f>
        <v>2444.38</v>
      </c>
      <c r="X137" s="15" t="n">
        <f aca="false">W137/$P137</f>
        <v>0.999337694194604</v>
      </c>
      <c r="Y137" s="14" t="n">
        <f aca="false">SUM(Y134:Y136)</f>
        <v>8013</v>
      </c>
      <c r="Z137" s="14" t="n">
        <f aca="false">SUM(Z134:Z136)</f>
        <v>8013</v>
      </c>
    </row>
    <row r="139" customFormat="false" ht="13.9" hidden="false" customHeight="true" outlineLevel="0" collapsed="false">
      <c r="E139" s="39" t="s">
        <v>57</v>
      </c>
      <c r="F139" s="17" t="s">
        <v>147</v>
      </c>
      <c r="G139" s="40" t="n">
        <v>744</v>
      </c>
      <c r="H139" s="40" t="n">
        <v>539</v>
      </c>
      <c r="I139" s="40" t="n">
        <v>440</v>
      </c>
      <c r="J139" s="40" t="n">
        <v>440</v>
      </c>
      <c r="K139" s="40" t="n">
        <v>574</v>
      </c>
      <c r="L139" s="40"/>
      <c r="M139" s="40"/>
      <c r="N139" s="40" t="n">
        <v>-167</v>
      </c>
      <c r="O139" s="40"/>
      <c r="P139" s="40" t="n">
        <f aca="false">K139+SUM(L139:O139)</f>
        <v>407</v>
      </c>
      <c r="Q139" s="40" t="n">
        <v>74</v>
      </c>
      <c r="R139" s="41" t="n">
        <f aca="false">Q139/$P139</f>
        <v>0.181818181818182</v>
      </c>
      <c r="S139" s="40" t="n">
        <v>185</v>
      </c>
      <c r="T139" s="41" t="n">
        <f aca="false">S139/$P139</f>
        <v>0.454545454545455</v>
      </c>
      <c r="U139" s="40" t="n">
        <v>296</v>
      </c>
      <c r="V139" s="41" t="n">
        <f aca="false">U139/$P139</f>
        <v>0.727272727272727</v>
      </c>
      <c r="W139" s="40" t="n">
        <v>407</v>
      </c>
      <c r="X139" s="42" t="n">
        <f aca="false">W139/$P139</f>
        <v>1</v>
      </c>
      <c r="Y139" s="40" t="n">
        <f aca="false">K139</f>
        <v>574</v>
      </c>
      <c r="Z139" s="43" t="n">
        <f aca="false">Y139</f>
        <v>574</v>
      </c>
    </row>
    <row r="140" customFormat="false" ht="13.9" hidden="false" customHeight="true" outlineLevel="0" collapsed="false">
      <c r="E140" s="44"/>
      <c r="F140" s="1" t="s">
        <v>148</v>
      </c>
      <c r="G140" s="46" t="n">
        <v>216</v>
      </c>
      <c r="H140" s="46" t="n">
        <v>420</v>
      </c>
      <c r="I140" s="46" t="n">
        <v>72</v>
      </c>
      <c r="J140" s="46" t="n">
        <v>72</v>
      </c>
      <c r="K140" s="46" t="n">
        <v>110</v>
      </c>
      <c r="L140" s="46"/>
      <c r="M140" s="46" t="n">
        <v>35</v>
      </c>
      <c r="N140" s="46" t="n">
        <v>98</v>
      </c>
      <c r="O140" s="46"/>
      <c r="P140" s="46" t="n">
        <f aca="false">K140+SUM(L140:O140)</f>
        <v>243</v>
      </c>
      <c r="Q140" s="46" t="n">
        <v>44</v>
      </c>
      <c r="R140" s="2" t="n">
        <f aca="false">Q140/$P140</f>
        <v>0.181069958847737</v>
      </c>
      <c r="S140" s="46" t="n">
        <v>110</v>
      </c>
      <c r="T140" s="2" t="n">
        <f aca="false">S140/$P140</f>
        <v>0.452674897119342</v>
      </c>
      <c r="U140" s="46" t="n">
        <v>176</v>
      </c>
      <c r="V140" s="2" t="n">
        <f aca="false">U140/$P140</f>
        <v>0.724279835390947</v>
      </c>
      <c r="W140" s="46" t="n">
        <v>242</v>
      </c>
      <c r="X140" s="47" t="n">
        <f aca="false">W140/$P140</f>
        <v>0.995884773662552</v>
      </c>
      <c r="Y140" s="46" t="n">
        <f aca="false">K140</f>
        <v>110</v>
      </c>
      <c r="Z140" s="48" t="n">
        <f aca="false">Y140</f>
        <v>110</v>
      </c>
    </row>
    <row r="141" customFormat="false" ht="13.9" hidden="false" customHeight="true" outlineLevel="0" collapsed="false">
      <c r="E141" s="52"/>
      <c r="F141" s="53" t="s">
        <v>164</v>
      </c>
      <c r="G141" s="54" t="n">
        <v>0</v>
      </c>
      <c r="H141" s="87" t="n">
        <v>8556.96</v>
      </c>
      <c r="I141" s="87" t="n">
        <v>5360</v>
      </c>
      <c r="J141" s="87" t="n">
        <v>2730.72</v>
      </c>
      <c r="K141" s="87" t="n">
        <v>6000</v>
      </c>
      <c r="L141" s="87"/>
      <c r="M141" s="87" t="n">
        <v>-5820</v>
      </c>
      <c r="N141" s="87"/>
      <c r="O141" s="87"/>
      <c r="P141" s="87" t="n">
        <f aca="false">K141+SUM(L141:O141)</f>
        <v>180</v>
      </c>
      <c r="Q141" s="87" t="n">
        <v>0</v>
      </c>
      <c r="R141" s="88" t="n">
        <f aca="false">Q141/$P141</f>
        <v>0</v>
      </c>
      <c r="S141" s="87" t="n">
        <v>0</v>
      </c>
      <c r="T141" s="88" t="n">
        <f aca="false">S141/$P141</f>
        <v>0</v>
      </c>
      <c r="U141" s="87" t="n">
        <v>0</v>
      </c>
      <c r="V141" s="88" t="n">
        <f aca="false">U141/$P141</f>
        <v>0</v>
      </c>
      <c r="W141" s="87" t="n">
        <v>0</v>
      </c>
      <c r="X141" s="89" t="n">
        <f aca="false">W141/$P141</f>
        <v>0</v>
      </c>
      <c r="Y141" s="54" t="n">
        <v>0</v>
      </c>
      <c r="Z141" s="57" t="n">
        <f aca="false">Y141</f>
        <v>0</v>
      </c>
    </row>
    <row r="142" customFormat="false" ht="13.9" hidden="true" customHeight="true" outlineLevel="0" collapsed="false">
      <c r="E142" s="44"/>
      <c r="F142" s="45" t="s">
        <v>165</v>
      </c>
      <c r="G142" s="49" t="n">
        <v>0</v>
      </c>
      <c r="H142" s="49" t="n">
        <v>660</v>
      </c>
      <c r="I142" s="49" t="n">
        <v>1000</v>
      </c>
      <c r="J142" s="49" t="n">
        <v>780</v>
      </c>
      <c r="K142" s="49" t="n">
        <v>780</v>
      </c>
      <c r="L142" s="49"/>
      <c r="M142" s="49"/>
      <c r="N142" s="49"/>
      <c r="O142" s="49"/>
      <c r="P142" s="49" t="n">
        <f aca="false">K142+SUM(L142:O142)</f>
        <v>780</v>
      </c>
      <c r="Q142" s="49"/>
      <c r="R142" s="50" t="n">
        <f aca="false">Q142/$P142</f>
        <v>0</v>
      </c>
      <c r="S142" s="49"/>
      <c r="T142" s="50" t="n">
        <f aca="false">S142/$P142</f>
        <v>0</v>
      </c>
      <c r="U142" s="49"/>
      <c r="V142" s="50" t="n">
        <f aca="false">U142/$P142</f>
        <v>0</v>
      </c>
      <c r="W142" s="49"/>
      <c r="X142" s="51" t="n">
        <f aca="false">W142/$P142</f>
        <v>0</v>
      </c>
      <c r="Y142" s="46" t="n">
        <f aca="false">K142</f>
        <v>780</v>
      </c>
      <c r="Z142" s="48" t="n">
        <f aca="false">Y142</f>
        <v>780</v>
      </c>
    </row>
    <row r="143" customFormat="false" ht="13.9" hidden="true" customHeight="true" outlineLevel="0" collapsed="false">
      <c r="E143" s="52"/>
      <c r="F143" s="86" t="s">
        <v>166</v>
      </c>
      <c r="G143" s="54" t="n">
        <v>733.16</v>
      </c>
      <c r="H143" s="87" t="n">
        <v>1864.03</v>
      </c>
      <c r="I143" s="87" t="n">
        <v>1000</v>
      </c>
      <c r="J143" s="87" t="n">
        <v>713</v>
      </c>
      <c r="K143" s="87" t="n">
        <v>0</v>
      </c>
      <c r="L143" s="87"/>
      <c r="M143" s="87"/>
      <c r="N143" s="87"/>
      <c r="O143" s="87"/>
      <c r="P143" s="87" t="n">
        <f aca="false">K143+SUM(L143:O143)</f>
        <v>0</v>
      </c>
      <c r="Q143" s="87"/>
      <c r="R143" s="88" t="e">
        <f aca="false">Q143/$P143</f>
        <v>#DIV/0!</v>
      </c>
      <c r="S143" s="87"/>
      <c r="T143" s="88" t="e">
        <f aca="false">S143/$P143</f>
        <v>#DIV/0!</v>
      </c>
      <c r="U143" s="87"/>
      <c r="V143" s="88" t="e">
        <f aca="false">U143/$P143</f>
        <v>#DIV/0!</v>
      </c>
      <c r="W143" s="87"/>
      <c r="X143" s="89" t="e">
        <f aca="false">W143/$P143</f>
        <v>#DIV/0!</v>
      </c>
      <c r="Y143" s="54" t="n">
        <f aca="false">K143</f>
        <v>0</v>
      </c>
      <c r="Z143" s="57" t="n">
        <f aca="false">Y143</f>
        <v>0</v>
      </c>
    </row>
    <row r="144" customFormat="false" ht="13.9" hidden="false" customHeight="true" outlineLevel="0" collapsed="false"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S144" s="46"/>
      <c r="U144" s="46"/>
      <c r="W144" s="46"/>
      <c r="Y144" s="46"/>
      <c r="Z144" s="46"/>
    </row>
    <row r="145" customFormat="false" ht="13.9" hidden="false" customHeight="true" outlineLevel="0" collapsed="false">
      <c r="D145" s="28" t="s">
        <v>167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customFormat="false" ht="13.9" hidden="false" customHeight="true" outlineLevel="0" collapsed="false">
      <c r="D146" s="7" t="s">
        <v>33</v>
      </c>
      <c r="E146" s="7" t="s">
        <v>34</v>
      </c>
      <c r="F146" s="7" t="s">
        <v>35</v>
      </c>
      <c r="G146" s="7" t="s">
        <v>1</v>
      </c>
      <c r="H146" s="7" t="s">
        <v>2</v>
      </c>
      <c r="I146" s="7" t="s">
        <v>3</v>
      </c>
      <c r="J146" s="7" t="s">
        <v>4</v>
      </c>
      <c r="K146" s="7" t="s">
        <v>5</v>
      </c>
      <c r="L146" s="7" t="s">
        <v>6</v>
      </c>
      <c r="M146" s="7" t="s">
        <v>7</v>
      </c>
      <c r="N146" s="7" t="s">
        <v>8</v>
      </c>
      <c r="O146" s="7" t="s">
        <v>9</v>
      </c>
      <c r="P146" s="7" t="s">
        <v>10</v>
      </c>
      <c r="Q146" s="7" t="s">
        <v>11</v>
      </c>
      <c r="R146" s="8" t="s">
        <v>12</v>
      </c>
      <c r="S146" s="7" t="s">
        <v>13</v>
      </c>
      <c r="T146" s="8" t="s">
        <v>14</v>
      </c>
      <c r="U146" s="7" t="s">
        <v>15</v>
      </c>
      <c r="V146" s="8" t="s">
        <v>16</v>
      </c>
      <c r="W146" s="7" t="s">
        <v>17</v>
      </c>
      <c r="X146" s="8" t="s">
        <v>18</v>
      </c>
      <c r="Y146" s="7" t="s">
        <v>19</v>
      </c>
      <c r="Z146" s="7" t="s">
        <v>20</v>
      </c>
    </row>
    <row r="147" customFormat="false" ht="13.9" hidden="false" customHeight="true" outlineLevel="0" collapsed="false">
      <c r="A147" s="1" t="n">
        <v>1</v>
      </c>
      <c r="B147" s="1" t="n">
        <v>4</v>
      </c>
      <c r="D147" s="92" t="s">
        <v>168</v>
      </c>
      <c r="E147" s="93" t="n">
        <v>610</v>
      </c>
      <c r="F147" s="93" t="s">
        <v>127</v>
      </c>
      <c r="G147" s="33" t="n">
        <v>0</v>
      </c>
      <c r="H147" s="33" t="n">
        <v>0</v>
      </c>
      <c r="I147" s="33" t="n">
        <v>0</v>
      </c>
      <c r="J147" s="33" t="n">
        <v>1500</v>
      </c>
      <c r="K147" s="33" t="n">
        <v>0</v>
      </c>
      <c r="L147" s="33"/>
      <c r="M147" s="33"/>
      <c r="N147" s="33"/>
      <c r="O147" s="33" t="n">
        <v>410</v>
      </c>
      <c r="P147" s="33" t="n">
        <f aca="false">K147+SUM(L147:O147)</f>
        <v>410</v>
      </c>
      <c r="Q147" s="33" t="n">
        <v>0</v>
      </c>
      <c r="R147" s="34" t="n">
        <f aca="false">Q147/$P147</f>
        <v>0</v>
      </c>
      <c r="S147" s="33" t="n">
        <v>0</v>
      </c>
      <c r="T147" s="34" t="n">
        <f aca="false">S147/$P147</f>
        <v>0</v>
      </c>
      <c r="U147" s="33" t="n">
        <v>0</v>
      </c>
      <c r="V147" s="34" t="n">
        <f aca="false">U147/$P147</f>
        <v>0</v>
      </c>
      <c r="W147" s="33" t="n">
        <v>315.84</v>
      </c>
      <c r="X147" s="34" t="n">
        <f aca="false">W147/$P147</f>
        <v>0.770341463414634</v>
      </c>
      <c r="Y147" s="11" t="n">
        <f aca="false">K147</f>
        <v>0</v>
      </c>
      <c r="Z147" s="11" t="n">
        <v>0</v>
      </c>
    </row>
    <row r="148" customFormat="false" ht="13.9" hidden="false" customHeight="true" outlineLevel="0" collapsed="false">
      <c r="D148" s="92"/>
      <c r="E148" s="93" t="n">
        <v>620</v>
      </c>
      <c r="F148" s="93" t="s">
        <v>128</v>
      </c>
      <c r="G148" s="33" t="n">
        <v>110.27</v>
      </c>
      <c r="H148" s="33" t="n">
        <v>57.27</v>
      </c>
      <c r="I148" s="33" t="n">
        <v>2929</v>
      </c>
      <c r="J148" s="33" t="n">
        <v>1622.09</v>
      </c>
      <c r="K148" s="33" t="n">
        <v>102</v>
      </c>
      <c r="L148" s="33"/>
      <c r="M148" s="33"/>
      <c r="N148" s="33"/>
      <c r="O148" s="33" t="n">
        <v>7</v>
      </c>
      <c r="P148" s="33" t="n">
        <f aca="false">K148+SUM(L148:O148)</f>
        <v>109</v>
      </c>
      <c r="Q148" s="33" t="n">
        <v>0</v>
      </c>
      <c r="R148" s="34" t="n">
        <f aca="false">Q148/$P148</f>
        <v>0</v>
      </c>
      <c r="S148" s="33" t="n">
        <v>0</v>
      </c>
      <c r="T148" s="34" t="n">
        <f aca="false">S148/$P148</f>
        <v>0</v>
      </c>
      <c r="U148" s="33" t="n">
        <v>0</v>
      </c>
      <c r="V148" s="34" t="n">
        <f aca="false">U148/$P148</f>
        <v>0</v>
      </c>
      <c r="W148" s="33" t="n">
        <v>110.33</v>
      </c>
      <c r="X148" s="34" t="n">
        <f aca="false">W148/$P148</f>
        <v>1.01220183486239</v>
      </c>
      <c r="Y148" s="11" t="n">
        <v>0</v>
      </c>
      <c r="Z148" s="11" t="n">
        <v>153</v>
      </c>
    </row>
    <row r="149" customFormat="false" ht="13.9" hidden="false" customHeight="true" outlineLevel="0" collapsed="false">
      <c r="A149" s="1" t="n">
        <v>1</v>
      </c>
      <c r="B149" s="1" t="n">
        <v>4</v>
      </c>
      <c r="D149" s="92"/>
      <c r="E149" s="93" t="n">
        <v>630</v>
      </c>
      <c r="F149" s="93" t="s">
        <v>129</v>
      </c>
      <c r="G149" s="33" t="n">
        <v>4335.77</v>
      </c>
      <c r="H149" s="33" t="n">
        <f aca="false">2145.65+156.7</f>
        <v>2302.35</v>
      </c>
      <c r="I149" s="33" t="n">
        <v>8379</v>
      </c>
      <c r="J149" s="33" t="n">
        <v>8186.46</v>
      </c>
      <c r="K149" s="33" t="n">
        <v>2918</v>
      </c>
      <c r="L149" s="33" t="n">
        <v>3141</v>
      </c>
      <c r="M149" s="33"/>
      <c r="N149" s="33"/>
      <c r="O149" s="33" t="n">
        <v>1095</v>
      </c>
      <c r="P149" s="33" t="n">
        <f aca="false">K149+SUM(L149:O149)</f>
        <v>7154</v>
      </c>
      <c r="Q149" s="33" t="n">
        <v>3141.16</v>
      </c>
      <c r="R149" s="34" t="n">
        <f aca="false">Q149/$P149</f>
        <v>0.439077439194856</v>
      </c>
      <c r="S149" s="33" t="n">
        <v>3141.16</v>
      </c>
      <c r="T149" s="34" t="n">
        <f aca="false">S149/$P149</f>
        <v>0.439077439194856</v>
      </c>
      <c r="U149" s="33" t="n">
        <v>3237.34</v>
      </c>
      <c r="V149" s="34" t="n">
        <f aca="false">U149/$P149</f>
        <v>0.452521666200727</v>
      </c>
      <c r="W149" s="33" t="n">
        <v>7063.67</v>
      </c>
      <c r="X149" s="34" t="n">
        <f aca="false">W149/$P149</f>
        <v>0.987373497344143</v>
      </c>
      <c r="Y149" s="33" t="n">
        <f aca="false">príjmy!V100-Y147</f>
        <v>0</v>
      </c>
      <c r="Z149" s="33" t="n">
        <v>4377</v>
      </c>
    </row>
    <row r="150" customFormat="false" ht="13.9" hidden="false" customHeight="true" outlineLevel="0" collapsed="false">
      <c r="A150" s="1" t="n">
        <v>1</v>
      </c>
      <c r="B150" s="1" t="n">
        <v>4</v>
      </c>
      <c r="D150" s="94" t="s">
        <v>21</v>
      </c>
      <c r="E150" s="95" t="n">
        <v>111</v>
      </c>
      <c r="F150" s="95" t="s">
        <v>132</v>
      </c>
      <c r="G150" s="96" t="n">
        <f aca="false">SUM(G147:G149)</f>
        <v>4446.04</v>
      </c>
      <c r="H150" s="96" t="n">
        <f aca="false">SUM(H147:H149)</f>
        <v>2359.62</v>
      </c>
      <c r="I150" s="96" t="n">
        <f aca="false">SUM(I147:I149)</f>
        <v>11308</v>
      </c>
      <c r="J150" s="96" t="n">
        <f aca="false">SUM(J147:J149)</f>
        <v>11308.55</v>
      </c>
      <c r="K150" s="96" t="n">
        <f aca="false">SUM(K147:K149)</f>
        <v>3020</v>
      </c>
      <c r="L150" s="96" t="n">
        <f aca="false">SUM(L147:L149)</f>
        <v>3141</v>
      </c>
      <c r="M150" s="96" t="n">
        <f aca="false">SUM(M147:M149)</f>
        <v>0</v>
      </c>
      <c r="N150" s="96" t="n">
        <f aca="false">SUM(N147:N149)</f>
        <v>0</v>
      </c>
      <c r="O150" s="96" t="n">
        <f aca="false">SUM(O147:O149)</f>
        <v>1512</v>
      </c>
      <c r="P150" s="96" t="n">
        <f aca="false">SUM(P147:P149)</f>
        <v>7673</v>
      </c>
      <c r="Q150" s="96" t="n">
        <f aca="false">SUM(Q147:Q149)</f>
        <v>3141.16</v>
      </c>
      <c r="R150" s="97" t="n">
        <f aca="false">Q150/$P150</f>
        <v>0.409378339632478</v>
      </c>
      <c r="S150" s="96" t="n">
        <f aca="false">SUM(S147:S149)</f>
        <v>3141.16</v>
      </c>
      <c r="T150" s="97" t="n">
        <f aca="false">S150/$P150</f>
        <v>0.409378339632478</v>
      </c>
      <c r="U150" s="96" t="n">
        <f aca="false">SUM(U147:U149)</f>
        <v>3237.34</v>
      </c>
      <c r="V150" s="97" t="n">
        <f aca="false">U150/$P150</f>
        <v>0.421913202137365</v>
      </c>
      <c r="W150" s="96" t="n">
        <f aca="false">SUM(W147:W149)</f>
        <v>7489.84</v>
      </c>
      <c r="X150" s="97" t="n">
        <f aca="false">W150/$P150</f>
        <v>0.976129284504105</v>
      </c>
      <c r="Y150" s="96" t="n">
        <f aca="false">SUM(Y147:Y149)</f>
        <v>0</v>
      </c>
      <c r="Z150" s="96" t="n">
        <f aca="false">SUM(Z147:Z149)</f>
        <v>4530</v>
      </c>
    </row>
    <row r="152" customFormat="false" ht="13.9" hidden="false" customHeight="true" outlineLevel="0" collapsed="false">
      <c r="D152" s="19" t="s">
        <v>169</v>
      </c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customFormat="false" ht="13.9" hidden="false" customHeight="true" outlineLevel="0" collapsed="false">
      <c r="D153" s="6"/>
      <c r="E153" s="6"/>
      <c r="F153" s="6"/>
      <c r="G153" s="7" t="s">
        <v>1</v>
      </c>
      <c r="H153" s="7" t="s">
        <v>2</v>
      </c>
      <c r="I153" s="7" t="s">
        <v>3</v>
      </c>
      <c r="J153" s="7" t="s">
        <v>4</v>
      </c>
      <c r="K153" s="7" t="s">
        <v>5</v>
      </c>
      <c r="L153" s="7" t="s">
        <v>6</v>
      </c>
      <c r="M153" s="7" t="s">
        <v>7</v>
      </c>
      <c r="N153" s="7" t="s">
        <v>8</v>
      </c>
      <c r="O153" s="7" t="s">
        <v>9</v>
      </c>
      <c r="P153" s="7" t="s">
        <v>10</v>
      </c>
      <c r="Q153" s="7" t="s">
        <v>11</v>
      </c>
      <c r="R153" s="8" t="s">
        <v>12</v>
      </c>
      <c r="S153" s="7" t="s">
        <v>13</v>
      </c>
      <c r="T153" s="8" t="s">
        <v>14</v>
      </c>
      <c r="U153" s="7" t="s">
        <v>15</v>
      </c>
      <c r="V153" s="8" t="s">
        <v>16</v>
      </c>
      <c r="W153" s="7" t="s">
        <v>17</v>
      </c>
      <c r="X153" s="8" t="s">
        <v>18</v>
      </c>
      <c r="Y153" s="7" t="s">
        <v>19</v>
      </c>
      <c r="Z153" s="7" t="s">
        <v>20</v>
      </c>
    </row>
    <row r="154" customFormat="false" ht="13.9" hidden="false" customHeight="true" outlineLevel="0" collapsed="false">
      <c r="A154" s="1" t="n">
        <v>2</v>
      </c>
      <c r="D154" s="21" t="s">
        <v>21</v>
      </c>
      <c r="E154" s="22" t="n">
        <v>111</v>
      </c>
      <c r="F154" s="22" t="s">
        <v>47</v>
      </c>
      <c r="G154" s="23" t="n">
        <f aca="false">G163</f>
        <v>524485.78</v>
      </c>
      <c r="H154" s="23" t="n">
        <f aca="false">H163</f>
        <v>611878.44</v>
      </c>
      <c r="I154" s="23" t="n">
        <f aca="false">I163</f>
        <v>594111</v>
      </c>
      <c r="J154" s="23" t="n">
        <f aca="false">J163</f>
        <v>567230.83</v>
      </c>
      <c r="K154" s="23" t="n">
        <f aca="false">K163</f>
        <v>558785</v>
      </c>
      <c r="L154" s="23" t="n">
        <f aca="false">L163</f>
        <v>24668</v>
      </c>
      <c r="M154" s="23" t="n">
        <f aca="false">M163</f>
        <v>25555</v>
      </c>
      <c r="N154" s="23" t="n">
        <f aca="false">N163</f>
        <v>42145</v>
      </c>
      <c r="O154" s="23" t="n">
        <f aca="false">O163</f>
        <v>36215</v>
      </c>
      <c r="P154" s="23" t="n">
        <f aca="false">P163</f>
        <v>687368</v>
      </c>
      <c r="Q154" s="23" t="n">
        <f aca="false">Q163</f>
        <v>115885.91</v>
      </c>
      <c r="R154" s="24" t="n">
        <f aca="false">Q154/$P154</f>
        <v>0.16859369362554</v>
      </c>
      <c r="S154" s="23" t="n">
        <f aca="false">S163</f>
        <v>264979.84</v>
      </c>
      <c r="T154" s="24" t="n">
        <f aca="false">S154/$P154</f>
        <v>0.385499237671815</v>
      </c>
      <c r="U154" s="23" t="n">
        <f aca="false">U163</f>
        <v>420941.44</v>
      </c>
      <c r="V154" s="24" t="n">
        <f aca="false">U154/$P154</f>
        <v>0.612396038221157</v>
      </c>
      <c r="W154" s="23" t="n">
        <f aca="false">W163</f>
        <v>647334.14</v>
      </c>
      <c r="X154" s="24" t="n">
        <f aca="false">W154/$P154</f>
        <v>0.941757748396783</v>
      </c>
      <c r="Y154" s="23" t="n">
        <f aca="false">Y163</f>
        <v>558785</v>
      </c>
      <c r="Z154" s="23" t="n">
        <f aca="false">Z163</f>
        <v>558785</v>
      </c>
    </row>
    <row r="155" customFormat="false" ht="13.9" hidden="false" customHeight="true" outlineLevel="0" collapsed="false">
      <c r="A155" s="1" t="n">
        <v>2</v>
      </c>
      <c r="D155" s="21"/>
      <c r="E155" s="22" t="n">
        <v>41</v>
      </c>
      <c r="F155" s="22" t="s">
        <v>23</v>
      </c>
      <c r="G155" s="23" t="n">
        <f aca="false">G170</f>
        <v>301791.44</v>
      </c>
      <c r="H155" s="23" t="n">
        <f aca="false">H170</f>
        <v>258605.11</v>
      </c>
      <c r="I155" s="23" t="n">
        <f aca="false">I170</f>
        <v>343790</v>
      </c>
      <c r="J155" s="23" t="n">
        <f aca="false">J170</f>
        <v>287083.48</v>
      </c>
      <c r="K155" s="23" t="n">
        <f aca="false">K170</f>
        <v>331955</v>
      </c>
      <c r="L155" s="23" t="n">
        <f aca="false">L170</f>
        <v>9707</v>
      </c>
      <c r="M155" s="23" t="n">
        <f aca="false">M170</f>
        <v>19910</v>
      </c>
      <c r="N155" s="23" t="n">
        <f aca="false">N170</f>
        <v>930</v>
      </c>
      <c r="O155" s="23" t="n">
        <f aca="false">O170</f>
        <v>19064</v>
      </c>
      <c r="P155" s="23" t="n">
        <f aca="false">P170</f>
        <v>381566</v>
      </c>
      <c r="Q155" s="23" t="n">
        <f aca="false">Q170</f>
        <v>67602.13</v>
      </c>
      <c r="R155" s="24" t="n">
        <f aca="false">Q155/$P155</f>
        <v>0.177170214327272</v>
      </c>
      <c r="S155" s="23" t="n">
        <f aca="false">S170</f>
        <v>142798.82</v>
      </c>
      <c r="T155" s="24" t="n">
        <f aca="false">S155/$P155</f>
        <v>0.374244088833911</v>
      </c>
      <c r="U155" s="23" t="n">
        <f aca="false">U170</f>
        <v>229617.26</v>
      </c>
      <c r="V155" s="24" t="n">
        <f aca="false">U155/$P155</f>
        <v>0.601775996813133</v>
      </c>
      <c r="W155" s="23" t="n">
        <f aca="false">W170</f>
        <v>336431.55</v>
      </c>
      <c r="X155" s="24" t="n">
        <f aca="false">W155/$P155</f>
        <v>0.881712600179261</v>
      </c>
      <c r="Y155" s="23" t="n">
        <f aca="false">Y170</f>
        <v>331955</v>
      </c>
      <c r="Z155" s="23" t="n">
        <f aca="false">Z170</f>
        <v>331955</v>
      </c>
    </row>
    <row r="156" customFormat="false" ht="13.9" hidden="false" customHeight="true" outlineLevel="0" collapsed="false">
      <c r="A156" s="1" t="n">
        <v>2</v>
      </c>
      <c r="D156" s="21"/>
      <c r="E156" s="22" t="n">
        <v>72</v>
      </c>
      <c r="F156" s="22" t="s">
        <v>25</v>
      </c>
      <c r="G156" s="23" t="n">
        <f aca="false">G172</f>
        <v>45351.94</v>
      </c>
      <c r="H156" s="23" t="n">
        <f aca="false">H172</f>
        <v>41689.45</v>
      </c>
      <c r="I156" s="23" t="n">
        <f aca="false">I172</f>
        <v>49061</v>
      </c>
      <c r="J156" s="23" t="n">
        <f aca="false">J172</f>
        <v>47874.47</v>
      </c>
      <c r="K156" s="23" t="n">
        <f aca="false">K172</f>
        <v>103140</v>
      </c>
      <c r="L156" s="23" t="n">
        <f aca="false">L172</f>
        <v>0</v>
      </c>
      <c r="M156" s="23" t="n">
        <f aca="false">M172</f>
        <v>10702</v>
      </c>
      <c r="N156" s="23" t="n">
        <f aca="false">N172</f>
        <v>1100</v>
      </c>
      <c r="O156" s="23" t="n">
        <f aca="false">O172</f>
        <v>3000</v>
      </c>
      <c r="P156" s="23" t="n">
        <f aca="false">P172</f>
        <v>117942</v>
      </c>
      <c r="Q156" s="23" t="n">
        <f aca="false">Q172</f>
        <v>12623.75</v>
      </c>
      <c r="R156" s="24" t="n">
        <f aca="false">Q156/$P156</f>
        <v>0.107033541910431</v>
      </c>
      <c r="S156" s="23" t="n">
        <f aca="false">S172</f>
        <v>26514.73</v>
      </c>
      <c r="T156" s="24" t="n">
        <f aca="false">S156/$P156</f>
        <v>0.224811602313001</v>
      </c>
      <c r="U156" s="23" t="n">
        <f aca="false">U172</f>
        <v>45607.74</v>
      </c>
      <c r="V156" s="24" t="n">
        <f aca="false">U156/$P156</f>
        <v>0.386696342269929</v>
      </c>
      <c r="W156" s="23" t="n">
        <f aca="false">W172</f>
        <v>71545.32</v>
      </c>
      <c r="X156" s="24" t="n">
        <f aca="false">W156/$P156</f>
        <v>0.606614437604925</v>
      </c>
      <c r="Y156" s="23" t="n">
        <f aca="false">Y172</f>
        <v>103140</v>
      </c>
      <c r="Z156" s="23" t="n">
        <f aca="false">Z172</f>
        <v>103140</v>
      </c>
    </row>
    <row r="157" customFormat="false" ht="13.9" hidden="false" customHeight="true" outlineLevel="0" collapsed="false">
      <c r="A157" s="1" t="n">
        <v>2</v>
      </c>
      <c r="D157" s="17"/>
      <c r="E157" s="18"/>
      <c r="F157" s="25" t="s">
        <v>122</v>
      </c>
      <c r="G157" s="26" t="n">
        <f aca="false">SUM(G154:G156)</f>
        <v>871629.16</v>
      </c>
      <c r="H157" s="26" t="n">
        <f aca="false">SUM(H154:H156)</f>
        <v>912173</v>
      </c>
      <c r="I157" s="26" t="n">
        <f aca="false">SUM(I154:I156)</f>
        <v>986962</v>
      </c>
      <c r="J157" s="26" t="n">
        <f aca="false">SUM(J154:J156)</f>
        <v>902188.78</v>
      </c>
      <c r="K157" s="26" t="n">
        <f aca="false">SUM(K154:K156)</f>
        <v>993880</v>
      </c>
      <c r="L157" s="26" t="n">
        <f aca="false">SUM(L154:L156)</f>
        <v>34375</v>
      </c>
      <c r="M157" s="26" t="n">
        <f aca="false">SUM(M154:M156)</f>
        <v>56167</v>
      </c>
      <c r="N157" s="26" t="n">
        <f aca="false">SUM(N154:N156)</f>
        <v>44175</v>
      </c>
      <c r="O157" s="26" t="n">
        <f aca="false">SUM(O154:O156)</f>
        <v>58279</v>
      </c>
      <c r="P157" s="26" t="n">
        <f aca="false">SUM(P154:P156)</f>
        <v>1186876</v>
      </c>
      <c r="Q157" s="26" t="n">
        <f aca="false">SUM(Q154:Q156)</f>
        <v>196111.79</v>
      </c>
      <c r="R157" s="27" t="n">
        <f aca="false">Q157/$P157</f>
        <v>0.165233596432989</v>
      </c>
      <c r="S157" s="26" t="n">
        <f aca="false">SUM(S154:S156)</f>
        <v>434293.39</v>
      </c>
      <c r="T157" s="27" t="n">
        <f aca="false">S157/$P157</f>
        <v>0.365913027140156</v>
      </c>
      <c r="U157" s="26" t="n">
        <f aca="false">SUM(U154:U156)</f>
        <v>696166.44</v>
      </c>
      <c r="V157" s="27" t="n">
        <f aca="false">U157/$P157</f>
        <v>0.586553641660966</v>
      </c>
      <c r="W157" s="26" t="n">
        <f aca="false">SUM(W154:W156)</f>
        <v>1055311.01</v>
      </c>
      <c r="X157" s="27" t="n">
        <f aca="false">W157/$P157</f>
        <v>0.889150180810801</v>
      </c>
      <c r="Y157" s="26" t="n">
        <f aca="false">SUM(Y154:Y156)</f>
        <v>993880</v>
      </c>
      <c r="Z157" s="26" t="n">
        <f aca="false">SUM(Z154:Z156)</f>
        <v>993880</v>
      </c>
    </row>
    <row r="159" customFormat="false" ht="13.9" hidden="false" customHeight="true" outlineLevel="0" collapsed="false">
      <c r="D159" s="28" t="s">
        <v>170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9"/>
      <c r="S159" s="28"/>
      <c r="T159" s="29"/>
      <c r="U159" s="28"/>
      <c r="V159" s="29"/>
      <c r="W159" s="28"/>
      <c r="X159" s="29"/>
      <c r="Y159" s="28"/>
      <c r="Z159" s="28"/>
    </row>
    <row r="160" customFormat="false" ht="13.9" hidden="false" customHeight="true" outlineLevel="0" collapsed="false">
      <c r="D160" s="7" t="s">
        <v>33</v>
      </c>
      <c r="E160" s="7" t="s">
        <v>34</v>
      </c>
      <c r="F160" s="7" t="s">
        <v>35</v>
      </c>
      <c r="G160" s="7" t="s">
        <v>1</v>
      </c>
      <c r="H160" s="7" t="s">
        <v>2</v>
      </c>
      <c r="I160" s="7" t="s">
        <v>3</v>
      </c>
      <c r="J160" s="7" t="s">
        <v>4</v>
      </c>
      <c r="K160" s="7" t="s">
        <v>5</v>
      </c>
      <c r="L160" s="7" t="s">
        <v>6</v>
      </c>
      <c r="M160" s="7" t="s">
        <v>7</v>
      </c>
      <c r="N160" s="7" t="s">
        <v>8</v>
      </c>
      <c r="O160" s="7" t="s">
        <v>9</v>
      </c>
      <c r="P160" s="7" t="s">
        <v>10</v>
      </c>
      <c r="Q160" s="7" t="s">
        <v>11</v>
      </c>
      <c r="R160" s="8" t="s">
        <v>12</v>
      </c>
      <c r="S160" s="7" t="s">
        <v>13</v>
      </c>
      <c r="T160" s="8" t="s">
        <v>14</v>
      </c>
      <c r="U160" s="7" t="s">
        <v>15</v>
      </c>
      <c r="V160" s="8" t="s">
        <v>16</v>
      </c>
      <c r="W160" s="7" t="s">
        <v>17</v>
      </c>
      <c r="X160" s="8" t="s">
        <v>18</v>
      </c>
      <c r="Y160" s="7" t="s">
        <v>19</v>
      </c>
      <c r="Z160" s="7" t="s">
        <v>20</v>
      </c>
    </row>
    <row r="161" customFormat="false" ht="13.9" hidden="false" customHeight="true" outlineLevel="0" collapsed="false">
      <c r="D161" s="38" t="s">
        <v>171</v>
      </c>
      <c r="E161" s="98" t="s">
        <v>172</v>
      </c>
      <c r="F161" s="10" t="s">
        <v>129</v>
      </c>
      <c r="G161" s="33" t="n">
        <v>0</v>
      </c>
      <c r="H161" s="33" t="n">
        <v>0</v>
      </c>
      <c r="I161" s="33" t="n">
        <v>0</v>
      </c>
      <c r="J161" s="33" t="n">
        <v>0</v>
      </c>
      <c r="K161" s="33" t="n">
        <v>0</v>
      </c>
      <c r="L161" s="33"/>
      <c r="M161" s="33"/>
      <c r="N161" s="33"/>
      <c r="O161" s="33" t="n">
        <v>4446</v>
      </c>
      <c r="P161" s="11" t="n">
        <f aca="false">K161+SUM(L161:O161)</f>
        <v>4446</v>
      </c>
      <c r="Q161" s="33" t="n">
        <v>0</v>
      </c>
      <c r="R161" s="34" t="n">
        <f aca="false">Q161/$P161</f>
        <v>0</v>
      </c>
      <c r="S161" s="33" t="n">
        <v>0</v>
      </c>
      <c r="T161" s="34" t="n">
        <f aca="false">S161/$P161</f>
        <v>0</v>
      </c>
      <c r="U161" s="33" t="n">
        <v>0</v>
      </c>
      <c r="V161" s="34" t="n">
        <f aca="false">U161/$P161</f>
        <v>0</v>
      </c>
      <c r="W161" s="33" t="n">
        <v>4581.01</v>
      </c>
      <c r="X161" s="34" t="n">
        <f aca="false">W161/$P161</f>
        <v>1.03036662168241</v>
      </c>
      <c r="Y161" s="11" t="n">
        <f aca="false">K161</f>
        <v>0</v>
      </c>
      <c r="Z161" s="11" t="n">
        <f aca="false">Y161</f>
        <v>0</v>
      </c>
    </row>
    <row r="162" customFormat="false" ht="13.9" hidden="false" customHeight="true" outlineLevel="0" collapsed="false">
      <c r="A162" s="1" t="n">
        <v>2</v>
      </c>
      <c r="B162" s="1" t="n">
        <v>1</v>
      </c>
      <c r="D162" s="38" t="s">
        <v>173</v>
      </c>
      <c r="E162" s="10" t="s">
        <v>50</v>
      </c>
      <c r="F162" s="10" t="s">
        <v>22</v>
      </c>
      <c r="G162" s="33" t="n">
        <f aca="false">510477.53+9968.64+973+3066.61</f>
        <v>524485.78</v>
      </c>
      <c r="H162" s="33" t="n">
        <f aca="false">572522.38+6050+32308.06+998</f>
        <v>611878.44</v>
      </c>
      <c r="I162" s="33" t="n">
        <f aca="false">586957+6002+1152</f>
        <v>594111</v>
      </c>
      <c r="J162" s="33" t="n">
        <f aca="false">341451.85+221200+4578.98</f>
        <v>567230.83</v>
      </c>
      <c r="K162" s="33" t="n">
        <v>558785</v>
      </c>
      <c r="L162" s="33" t="n">
        <v>24668</v>
      </c>
      <c r="M162" s="33" t="n">
        <f aca="false">19848+5707</f>
        <v>25555</v>
      </c>
      <c r="N162" s="33" t="n">
        <v>42145</v>
      </c>
      <c r="O162" s="33" t="n">
        <v>31769</v>
      </c>
      <c r="P162" s="11" t="n">
        <f aca="false">K162+SUM(L162:O162)</f>
        <v>682922</v>
      </c>
      <c r="Q162" s="33" t="n">
        <v>115885.91</v>
      </c>
      <c r="R162" s="34" t="n">
        <f aca="false">Q162/$P162</f>
        <v>0.169691282459783</v>
      </c>
      <c r="S162" s="33" t="n">
        <v>264979.84</v>
      </c>
      <c r="T162" s="34" t="n">
        <f aca="false">S162/$P162</f>
        <v>0.388008938063205</v>
      </c>
      <c r="U162" s="33" t="n">
        <v>420941.44</v>
      </c>
      <c r="V162" s="34" t="n">
        <f aca="false">U162/$P162</f>
        <v>0.616382895850478</v>
      </c>
      <c r="W162" s="33" t="n">
        <v>642753.13</v>
      </c>
      <c r="X162" s="34" t="n">
        <f aca="false">W162/$P162</f>
        <v>0.941180881564805</v>
      </c>
      <c r="Y162" s="11" t="n">
        <f aca="false">K162</f>
        <v>558785</v>
      </c>
      <c r="Z162" s="11" t="n">
        <f aca="false">Y162</f>
        <v>558785</v>
      </c>
    </row>
    <row r="163" customFormat="false" ht="13.9" hidden="false" customHeight="true" outlineLevel="0" collapsed="false">
      <c r="A163" s="1" t="n">
        <v>2</v>
      </c>
      <c r="B163" s="1" t="n">
        <v>1</v>
      </c>
      <c r="D163" s="75" t="s">
        <v>21</v>
      </c>
      <c r="E163" s="35" t="n">
        <v>111</v>
      </c>
      <c r="F163" s="35" t="s">
        <v>132</v>
      </c>
      <c r="G163" s="36" t="n">
        <f aca="false">SUM(G161:G162)</f>
        <v>524485.78</v>
      </c>
      <c r="H163" s="36" t="n">
        <f aca="false">SUM(H161:H162)</f>
        <v>611878.44</v>
      </c>
      <c r="I163" s="36" t="n">
        <f aca="false">SUM(I161:I162)</f>
        <v>594111</v>
      </c>
      <c r="J163" s="36" t="n">
        <f aca="false">SUM(J161:J162)</f>
        <v>567230.83</v>
      </c>
      <c r="K163" s="36" t="n">
        <f aca="false">SUM(K161:K162)</f>
        <v>558785</v>
      </c>
      <c r="L163" s="36" t="n">
        <f aca="false">SUM(L161:L162)</f>
        <v>24668</v>
      </c>
      <c r="M163" s="36" t="n">
        <f aca="false">SUM(M161:M162)</f>
        <v>25555</v>
      </c>
      <c r="N163" s="36" t="n">
        <f aca="false">SUM(N161:N162)</f>
        <v>42145</v>
      </c>
      <c r="O163" s="36" t="n">
        <f aca="false">SUM(O161:O162)</f>
        <v>36215</v>
      </c>
      <c r="P163" s="36" t="n">
        <f aca="false">SUM(P161:P162)</f>
        <v>687368</v>
      </c>
      <c r="Q163" s="36" t="n">
        <f aca="false">SUM(Q161:Q162)</f>
        <v>115885.91</v>
      </c>
      <c r="R163" s="37" t="n">
        <f aca="false">Q163/$P163</f>
        <v>0.16859369362554</v>
      </c>
      <c r="S163" s="36" t="n">
        <f aca="false">SUM(S161:S162)</f>
        <v>264979.84</v>
      </c>
      <c r="T163" s="37" t="n">
        <f aca="false">S163/$P163</f>
        <v>0.385499237671815</v>
      </c>
      <c r="U163" s="36" t="n">
        <f aca="false">SUM(U161:U162)</f>
        <v>420941.44</v>
      </c>
      <c r="V163" s="37" t="n">
        <f aca="false">U163/$P163</f>
        <v>0.612396038221157</v>
      </c>
      <c r="W163" s="36" t="n">
        <f aca="false">SUM(W161:W162)</f>
        <v>647334.14</v>
      </c>
      <c r="X163" s="37" t="n">
        <f aca="false">W163/$P163</f>
        <v>0.941757748396783</v>
      </c>
      <c r="Y163" s="36" t="n">
        <f aca="false">SUM(Y161:Y162)</f>
        <v>558785</v>
      </c>
      <c r="Z163" s="36" t="n">
        <f aca="false">SUM(Z161:Z162)</f>
        <v>558785</v>
      </c>
    </row>
    <row r="164" customFormat="false" ht="13.9" hidden="false" customHeight="true" outlineLevel="0" collapsed="false">
      <c r="A164" s="1" t="n">
        <v>2</v>
      </c>
      <c r="B164" s="1" t="n">
        <v>1</v>
      </c>
      <c r="D164" s="68" t="s">
        <v>174</v>
      </c>
      <c r="E164" s="10" t="n">
        <v>630</v>
      </c>
      <c r="F164" s="10" t="s">
        <v>129</v>
      </c>
      <c r="G164" s="11" t="n">
        <v>21365.08</v>
      </c>
      <c r="H164" s="11" t="n">
        <v>18808.05</v>
      </c>
      <c r="I164" s="11" t="n">
        <v>25209</v>
      </c>
      <c r="J164" s="11" t="n">
        <v>15968.71</v>
      </c>
      <c r="K164" s="11" t="n">
        <v>7971</v>
      </c>
      <c r="L164" s="11" t="n">
        <f aca="false">262+8558</f>
        <v>8820</v>
      </c>
      <c r="M164" s="11" t="n">
        <v>50</v>
      </c>
      <c r="N164" s="11" t="n">
        <v>883</v>
      </c>
      <c r="O164" s="11" t="n">
        <f aca="false">247-231</f>
        <v>16</v>
      </c>
      <c r="P164" s="11" t="n">
        <f aca="false">K164+SUM(L164:O164)</f>
        <v>17740</v>
      </c>
      <c r="Q164" s="11" t="n">
        <v>10670.47</v>
      </c>
      <c r="R164" s="34" t="n">
        <f aca="false">Q164/$P164</f>
        <v>0.601492108229989</v>
      </c>
      <c r="S164" s="11" t="n">
        <v>12857.06</v>
      </c>
      <c r="T164" s="34" t="n">
        <f aca="false">S164/$P164</f>
        <v>0.724749718151071</v>
      </c>
      <c r="U164" s="11" t="n">
        <v>14703.44</v>
      </c>
      <c r="V164" s="34" t="n">
        <f aca="false">U164/$P164</f>
        <v>0.8288297632469</v>
      </c>
      <c r="W164" s="11" t="n">
        <v>17602.3</v>
      </c>
      <c r="X164" s="34" t="n">
        <f aca="false">W164/$P164</f>
        <v>0.992237880496054</v>
      </c>
      <c r="Y164" s="11" t="n">
        <f aca="false">K164</f>
        <v>7971</v>
      </c>
      <c r="Z164" s="11" t="n">
        <f aca="false">Y164</f>
        <v>7971</v>
      </c>
    </row>
    <row r="165" customFormat="false" ht="13.9" hidden="false" customHeight="true" outlineLevel="0" collapsed="false">
      <c r="A165" s="1" t="n">
        <v>2</v>
      </c>
      <c r="B165" s="1" t="n">
        <v>1</v>
      </c>
      <c r="D165" s="38" t="s">
        <v>171</v>
      </c>
      <c r="E165" s="10" t="n">
        <v>630</v>
      </c>
      <c r="F165" s="10" t="s">
        <v>129</v>
      </c>
      <c r="G165" s="11" t="n">
        <v>1438.71</v>
      </c>
      <c r="H165" s="11" t="n">
        <v>1168.71</v>
      </c>
      <c r="I165" s="11" t="n">
        <v>1469</v>
      </c>
      <c r="J165" s="11" t="n">
        <v>25315.7</v>
      </c>
      <c r="K165" s="11" t="n">
        <v>693</v>
      </c>
      <c r="L165" s="11" t="n">
        <v>887</v>
      </c>
      <c r="M165" s="11" t="n">
        <f aca="false">6351+1814</f>
        <v>8165</v>
      </c>
      <c r="N165" s="11" t="n">
        <v>1802</v>
      </c>
      <c r="O165" s="11" t="n">
        <v>-3864</v>
      </c>
      <c r="P165" s="11" t="n">
        <f aca="false">K165+SUM(L165:O165)</f>
        <v>7683</v>
      </c>
      <c r="Q165" s="11" t="n">
        <v>351</v>
      </c>
      <c r="R165" s="12" t="n">
        <f aca="false">Q165/$P165</f>
        <v>0.0456852791878173</v>
      </c>
      <c r="S165" s="11" t="n">
        <v>6977.92</v>
      </c>
      <c r="T165" s="12" t="n">
        <f aca="false">S165/$P165</f>
        <v>0.90822855655343</v>
      </c>
      <c r="U165" s="11" t="n">
        <v>10796.25</v>
      </c>
      <c r="V165" s="12" t="n">
        <f aca="false">U165/$P165</f>
        <v>1.40521280749707</v>
      </c>
      <c r="W165" s="11" t="n">
        <v>7682.49</v>
      </c>
      <c r="X165" s="12" t="n">
        <f aca="false">W165/$P165</f>
        <v>0.999933619679813</v>
      </c>
      <c r="Y165" s="11" t="n">
        <f aca="false">K165</f>
        <v>693</v>
      </c>
      <c r="Z165" s="11" t="n">
        <f aca="false">Y165</f>
        <v>693</v>
      </c>
    </row>
    <row r="166" customFormat="false" ht="13.9" hidden="false" customHeight="true" outlineLevel="0" collapsed="false">
      <c r="A166" s="1" t="n">
        <v>2</v>
      </c>
      <c r="B166" s="1" t="n">
        <v>1</v>
      </c>
      <c r="D166" s="99" t="s">
        <v>175</v>
      </c>
      <c r="E166" s="10" t="n">
        <v>630</v>
      </c>
      <c r="F166" s="10" t="s">
        <v>129</v>
      </c>
      <c r="G166" s="11" t="n">
        <v>5363.93</v>
      </c>
      <c r="H166" s="11" t="n">
        <v>833.71</v>
      </c>
      <c r="I166" s="11" t="n">
        <v>21613</v>
      </c>
      <c r="J166" s="11" t="n">
        <v>330.23</v>
      </c>
      <c r="K166" s="11" t="n">
        <v>51</v>
      </c>
      <c r="L166" s="11"/>
      <c r="M166" s="11"/>
      <c r="N166" s="11"/>
      <c r="O166" s="11"/>
      <c r="P166" s="11" t="n">
        <f aca="false">K166+SUM(L166:O166)</f>
        <v>51</v>
      </c>
      <c r="Q166" s="11" t="n">
        <v>0</v>
      </c>
      <c r="R166" s="12" t="n">
        <f aca="false">Q166/$P166</f>
        <v>0</v>
      </c>
      <c r="S166" s="11" t="n">
        <v>0</v>
      </c>
      <c r="T166" s="12" t="n">
        <f aca="false">S166/$P166</f>
        <v>0</v>
      </c>
      <c r="U166" s="11" t="n">
        <v>0</v>
      </c>
      <c r="V166" s="12" t="n">
        <f aca="false">U166/$P166</f>
        <v>0</v>
      </c>
      <c r="W166" s="11" t="n">
        <v>0</v>
      </c>
      <c r="X166" s="12" t="n">
        <f aca="false">W166/$P166</f>
        <v>0</v>
      </c>
      <c r="Y166" s="11" t="n">
        <f aca="false">K166</f>
        <v>51</v>
      </c>
      <c r="Z166" s="11" t="n">
        <f aca="false">Y166</f>
        <v>51</v>
      </c>
    </row>
    <row r="167" customFormat="false" ht="13.9" hidden="false" customHeight="true" outlineLevel="0" collapsed="false">
      <c r="A167" s="1" t="n">
        <v>2</v>
      </c>
      <c r="B167" s="1" t="n">
        <v>1</v>
      </c>
      <c r="D167" s="99"/>
      <c r="E167" s="10" t="n">
        <v>640</v>
      </c>
      <c r="F167" s="10" t="s">
        <v>130</v>
      </c>
      <c r="G167" s="11" t="n">
        <v>1528.69</v>
      </c>
      <c r="H167" s="11" t="n">
        <v>1490.08</v>
      </c>
      <c r="I167" s="11" t="n">
        <f aca="false">974+170</f>
        <v>1144</v>
      </c>
      <c r="J167" s="11" t="n">
        <v>974.05</v>
      </c>
      <c r="K167" s="11" t="n">
        <v>1624</v>
      </c>
      <c r="L167" s="11"/>
      <c r="M167" s="33" t="n">
        <v>-237</v>
      </c>
      <c r="N167" s="11" t="n">
        <v>-1387</v>
      </c>
      <c r="O167" s="11" t="n">
        <v>1624</v>
      </c>
      <c r="P167" s="11" t="n">
        <f aca="false">K167+SUM(L167:O167)</f>
        <v>1624</v>
      </c>
      <c r="Q167" s="11" t="n">
        <v>0</v>
      </c>
      <c r="R167" s="12" t="n">
        <f aca="false">Q167/$P167</f>
        <v>0</v>
      </c>
      <c r="S167" s="11" t="n">
        <v>0</v>
      </c>
      <c r="T167" s="12" t="n">
        <f aca="false">S167/$P167</f>
        <v>0</v>
      </c>
      <c r="U167" s="11" t="n">
        <v>0</v>
      </c>
      <c r="V167" s="12" t="n">
        <f aca="false">U167/$P167</f>
        <v>0</v>
      </c>
      <c r="W167" s="11" t="n">
        <v>1624.18</v>
      </c>
      <c r="X167" s="12" t="n">
        <f aca="false">W167/$P167</f>
        <v>1.00011083743842</v>
      </c>
      <c r="Y167" s="11" t="n">
        <f aca="false">K167</f>
        <v>1624</v>
      </c>
      <c r="Z167" s="11" t="n">
        <f aca="false">Y167</f>
        <v>1624</v>
      </c>
    </row>
    <row r="168" customFormat="false" ht="13.9" hidden="false" customHeight="true" outlineLevel="0" collapsed="false">
      <c r="A168" s="1" t="n">
        <v>2</v>
      </c>
      <c r="B168" s="1" t="n">
        <v>1</v>
      </c>
      <c r="D168" s="100" t="s">
        <v>176</v>
      </c>
      <c r="E168" s="10" t="n">
        <v>630</v>
      </c>
      <c r="F168" s="10" t="s">
        <v>129</v>
      </c>
      <c r="G168" s="11" t="n">
        <v>5930.27</v>
      </c>
      <c r="H168" s="11" t="n">
        <v>6871.88</v>
      </c>
      <c r="I168" s="11" t="n">
        <v>5154</v>
      </c>
      <c r="J168" s="11" t="n">
        <v>5661.67</v>
      </c>
      <c r="K168" s="11" t="n">
        <v>8869</v>
      </c>
      <c r="L168" s="11"/>
      <c r="M168" s="11"/>
      <c r="N168" s="11" t="n">
        <v>-368</v>
      </c>
      <c r="O168" s="11" t="n">
        <f aca="false">293+115</f>
        <v>408</v>
      </c>
      <c r="P168" s="11" t="n">
        <f aca="false">K168+SUM(L168:O168)</f>
        <v>8909</v>
      </c>
      <c r="Q168" s="11" t="n">
        <v>2067.03</v>
      </c>
      <c r="R168" s="12" t="n">
        <f aca="false">Q168/$P168</f>
        <v>0.232015938938152</v>
      </c>
      <c r="S168" s="11" t="n">
        <v>4391.29</v>
      </c>
      <c r="T168" s="12" t="n">
        <f aca="false">S168/$P168</f>
        <v>0.492904927601302</v>
      </c>
      <c r="U168" s="11" t="n">
        <v>6450.95</v>
      </c>
      <c r="V168" s="12" t="n">
        <f aca="false">U168/$P168</f>
        <v>0.724093613200135</v>
      </c>
      <c r="W168" s="11" t="n">
        <v>8909.4</v>
      </c>
      <c r="X168" s="12" t="n">
        <f aca="false">W168/$P168</f>
        <v>1.00004489841733</v>
      </c>
      <c r="Y168" s="11" t="n">
        <f aca="false">K168</f>
        <v>8869</v>
      </c>
      <c r="Z168" s="11" t="n">
        <f aca="false">Y168</f>
        <v>8869</v>
      </c>
    </row>
    <row r="169" customFormat="false" ht="13.9" hidden="false" customHeight="true" outlineLevel="0" collapsed="false">
      <c r="A169" s="1" t="n">
        <v>2</v>
      </c>
      <c r="B169" s="1" t="n">
        <v>1</v>
      </c>
      <c r="D169" s="101" t="s">
        <v>173</v>
      </c>
      <c r="E169" s="10" t="s">
        <v>50</v>
      </c>
      <c r="F169" s="10" t="s">
        <v>177</v>
      </c>
      <c r="G169" s="11" t="n">
        <f aca="false">85577.52+159440.48+21146.76</f>
        <v>266164.76</v>
      </c>
      <c r="H169" s="33" t="n">
        <f aca="false">82080.35+139041.81+8310.52</f>
        <v>229432.68</v>
      </c>
      <c r="I169" s="33" t="n">
        <f aca="false">78459+197431+13311</f>
        <v>289201</v>
      </c>
      <c r="J169" s="33" t="n">
        <f aca="false">40734.3+88000+107980.44+2118.38</f>
        <v>238833.12</v>
      </c>
      <c r="K169" s="33" t="n">
        <v>312747</v>
      </c>
      <c r="L169" s="33"/>
      <c r="M169" s="33" t="n">
        <v>11932</v>
      </c>
      <c r="N169" s="33"/>
      <c r="O169" s="33" t="n">
        <v>20880</v>
      </c>
      <c r="P169" s="11" t="n">
        <f aca="false">K169+SUM(L169:O169)</f>
        <v>345559</v>
      </c>
      <c r="Q169" s="33" t="n">
        <v>54513.63</v>
      </c>
      <c r="R169" s="34" t="n">
        <f aca="false">Q169/$P169</f>
        <v>0.157754913053921</v>
      </c>
      <c r="S169" s="33" t="n">
        <v>118572.55</v>
      </c>
      <c r="T169" s="34" t="n">
        <f aca="false">S169/$P169</f>
        <v>0.343132576492003</v>
      </c>
      <c r="U169" s="33" t="n">
        <v>197666.62</v>
      </c>
      <c r="V169" s="34" t="n">
        <f aca="false">U169/$P169</f>
        <v>0.572019886618494</v>
      </c>
      <c r="W169" s="33" t="n">
        <v>300613.18</v>
      </c>
      <c r="X169" s="34" t="n">
        <f aca="false">W169/$P169</f>
        <v>0.869933007098643</v>
      </c>
      <c r="Y169" s="11" t="n">
        <f aca="false">K169</f>
        <v>312747</v>
      </c>
      <c r="Z169" s="11" t="n">
        <f aca="false">Y169</f>
        <v>312747</v>
      </c>
    </row>
    <row r="170" customFormat="false" ht="13.9" hidden="false" customHeight="true" outlineLevel="0" collapsed="false">
      <c r="A170" s="1" t="n">
        <v>2</v>
      </c>
      <c r="B170" s="1" t="n">
        <v>1</v>
      </c>
      <c r="D170" s="75" t="s">
        <v>21</v>
      </c>
      <c r="E170" s="35" t="n">
        <v>41</v>
      </c>
      <c r="F170" s="35" t="s">
        <v>23</v>
      </c>
      <c r="G170" s="36" t="n">
        <f aca="false">SUM(G164:G169)</f>
        <v>301791.44</v>
      </c>
      <c r="H170" s="36" t="n">
        <f aca="false">SUM(H164:H169)</f>
        <v>258605.11</v>
      </c>
      <c r="I170" s="36" t="n">
        <f aca="false">SUM(I164:I169)</f>
        <v>343790</v>
      </c>
      <c r="J170" s="36" t="n">
        <f aca="false">SUM(J164:J169)</f>
        <v>287083.48</v>
      </c>
      <c r="K170" s="36" t="n">
        <f aca="false">SUM(K164:K169)</f>
        <v>331955</v>
      </c>
      <c r="L170" s="36" t="n">
        <f aca="false">SUM(L164:L169)</f>
        <v>9707</v>
      </c>
      <c r="M170" s="36" t="n">
        <f aca="false">SUM(M164:M169)</f>
        <v>19910</v>
      </c>
      <c r="N170" s="36" t="n">
        <f aca="false">SUM(N164:N169)</f>
        <v>930</v>
      </c>
      <c r="O170" s="36" t="n">
        <f aca="false">SUM(O164:O169)</f>
        <v>19064</v>
      </c>
      <c r="P170" s="36" t="n">
        <f aca="false">SUM(P164:P169)</f>
        <v>381566</v>
      </c>
      <c r="Q170" s="36" t="n">
        <f aca="false">SUM(Q164:Q169)</f>
        <v>67602.13</v>
      </c>
      <c r="R170" s="37" t="n">
        <f aca="false">Q170/$P170</f>
        <v>0.177170214327272</v>
      </c>
      <c r="S170" s="36" t="n">
        <f aca="false">SUM(S164:S169)</f>
        <v>142798.82</v>
      </c>
      <c r="T170" s="37" t="n">
        <f aca="false">S170/$P170</f>
        <v>0.374244088833911</v>
      </c>
      <c r="U170" s="36" t="n">
        <f aca="false">SUM(U164:U169)</f>
        <v>229617.26</v>
      </c>
      <c r="V170" s="37" t="n">
        <f aca="false">U170/$P170</f>
        <v>0.601775996813133</v>
      </c>
      <c r="W170" s="36" t="n">
        <f aca="false">SUM(W164:W169)</f>
        <v>336431.55</v>
      </c>
      <c r="X170" s="37" t="n">
        <f aca="false">W170/$P170</f>
        <v>0.881712600179261</v>
      </c>
      <c r="Y170" s="36" t="n">
        <f aca="false">SUM(Y164:Y169)</f>
        <v>331955</v>
      </c>
      <c r="Z170" s="36" t="n">
        <f aca="false">SUM(Z164:Z169)</f>
        <v>331955</v>
      </c>
    </row>
    <row r="171" customFormat="false" ht="13.9" hidden="false" customHeight="true" outlineLevel="0" collapsed="false">
      <c r="A171" s="1" t="n">
        <v>2</v>
      </c>
      <c r="B171" s="1" t="n">
        <v>1</v>
      </c>
      <c r="D171" s="38" t="s">
        <v>173</v>
      </c>
      <c r="E171" s="10" t="s">
        <v>50</v>
      </c>
      <c r="F171" s="10" t="s">
        <v>25</v>
      </c>
      <c r="G171" s="11" t="n">
        <f aca="false">43295.19+1836.61+220.14</f>
        <v>45351.94</v>
      </c>
      <c r="H171" s="33" t="n">
        <f aca="false">39950.8+1704.85+33.8</f>
        <v>41689.45</v>
      </c>
      <c r="I171" s="33" t="n">
        <f aca="false">47215+1683+163</f>
        <v>49061</v>
      </c>
      <c r="J171" s="33" t="n">
        <f aca="false">23857.97+23938.08+78.42</f>
        <v>47874.47</v>
      </c>
      <c r="K171" s="33" t="n">
        <v>103140</v>
      </c>
      <c r="L171" s="33"/>
      <c r="M171" s="33" t="n">
        <v>10702</v>
      </c>
      <c r="N171" s="33" t="n">
        <v>1100</v>
      </c>
      <c r="O171" s="33" t="n">
        <v>3000</v>
      </c>
      <c r="P171" s="11" t="n">
        <f aca="false">K171+SUM(L171:O171)</f>
        <v>117942</v>
      </c>
      <c r="Q171" s="33" t="n">
        <v>12623.75</v>
      </c>
      <c r="R171" s="34" t="n">
        <f aca="false">Q171/$P171</f>
        <v>0.107033541910431</v>
      </c>
      <c r="S171" s="33" t="n">
        <v>26514.73</v>
      </c>
      <c r="T171" s="34" t="n">
        <f aca="false">S171/$P171</f>
        <v>0.224811602313001</v>
      </c>
      <c r="U171" s="33" t="n">
        <v>45607.74</v>
      </c>
      <c r="V171" s="34" t="n">
        <f aca="false">U171/$P171</f>
        <v>0.386696342269929</v>
      </c>
      <c r="W171" s="33" t="n">
        <v>71545.32</v>
      </c>
      <c r="X171" s="34" t="n">
        <f aca="false">W171/$P171</f>
        <v>0.606614437604925</v>
      </c>
      <c r="Y171" s="11" t="n">
        <f aca="false">K171</f>
        <v>103140</v>
      </c>
      <c r="Z171" s="11" t="n">
        <f aca="false">Y171</f>
        <v>103140</v>
      </c>
    </row>
    <row r="172" customFormat="false" ht="13.9" hidden="false" customHeight="true" outlineLevel="0" collapsed="false">
      <c r="A172" s="1" t="n">
        <v>2</v>
      </c>
      <c r="B172" s="1" t="n">
        <v>1</v>
      </c>
      <c r="D172" s="75" t="s">
        <v>21</v>
      </c>
      <c r="E172" s="35" t="n">
        <v>72</v>
      </c>
      <c r="F172" s="35" t="s">
        <v>25</v>
      </c>
      <c r="G172" s="36" t="n">
        <f aca="false">SUM(G171:G171)</f>
        <v>45351.94</v>
      </c>
      <c r="H172" s="36" t="n">
        <f aca="false">SUM(H171:H171)</f>
        <v>41689.45</v>
      </c>
      <c r="I172" s="36" t="n">
        <f aca="false">SUM(I171:I171)</f>
        <v>49061</v>
      </c>
      <c r="J172" s="36" t="n">
        <f aca="false">SUM(J171:J171)</f>
        <v>47874.47</v>
      </c>
      <c r="K172" s="36" t="n">
        <f aca="false">SUM(K171:K171)</f>
        <v>103140</v>
      </c>
      <c r="L172" s="36" t="n">
        <f aca="false">SUM(L171:L171)</f>
        <v>0</v>
      </c>
      <c r="M172" s="36" t="n">
        <f aca="false">SUM(M171:M171)</f>
        <v>10702</v>
      </c>
      <c r="N172" s="36" t="n">
        <f aca="false">SUM(N171:N171)</f>
        <v>1100</v>
      </c>
      <c r="O172" s="36" t="n">
        <f aca="false">SUM(O171:O171)</f>
        <v>3000</v>
      </c>
      <c r="P172" s="36" t="n">
        <f aca="false">SUM(P171:P171)</f>
        <v>117942</v>
      </c>
      <c r="Q172" s="36" t="n">
        <f aca="false">SUM(Q171:Q171)</f>
        <v>12623.75</v>
      </c>
      <c r="R172" s="37" t="n">
        <f aca="false">Q172/$P172</f>
        <v>0.107033541910431</v>
      </c>
      <c r="S172" s="36" t="n">
        <f aca="false">SUM(S171:S171)</f>
        <v>26514.73</v>
      </c>
      <c r="T172" s="37" t="n">
        <f aca="false">S172/$P172</f>
        <v>0.224811602313001</v>
      </c>
      <c r="U172" s="36" t="n">
        <f aca="false">SUM(U171:U171)</f>
        <v>45607.74</v>
      </c>
      <c r="V172" s="37" t="n">
        <f aca="false">U172/$P172</f>
        <v>0.386696342269929</v>
      </c>
      <c r="W172" s="36" t="n">
        <f aca="false">SUM(W171:W171)</f>
        <v>71545.32</v>
      </c>
      <c r="X172" s="37" t="n">
        <f aca="false">W172/$P172</f>
        <v>0.606614437604925</v>
      </c>
      <c r="Y172" s="36" t="n">
        <f aca="false">SUM(Y171:Y171)</f>
        <v>103140</v>
      </c>
      <c r="Z172" s="36" t="n">
        <f aca="false">SUM(Z171:Z171)</f>
        <v>103140</v>
      </c>
    </row>
    <row r="173" customFormat="false" ht="13.9" hidden="false" customHeight="true" outlineLevel="0" collapsed="false">
      <c r="A173" s="1" t="n">
        <v>2</v>
      </c>
      <c r="B173" s="1" t="n">
        <v>1</v>
      </c>
      <c r="D173" s="17"/>
      <c r="E173" s="18"/>
      <c r="F173" s="13" t="s">
        <v>122</v>
      </c>
      <c r="G173" s="14" t="n">
        <f aca="false">G163+G170+G172</f>
        <v>871629.16</v>
      </c>
      <c r="H173" s="14" t="n">
        <f aca="false">H163+H170+H172</f>
        <v>912173</v>
      </c>
      <c r="I173" s="14" t="n">
        <f aca="false">I163+I170+I172</f>
        <v>986962</v>
      </c>
      <c r="J173" s="14" t="n">
        <f aca="false">J163+J170+J172</f>
        <v>902188.78</v>
      </c>
      <c r="K173" s="14" t="n">
        <f aca="false">K163+K170+K172</f>
        <v>993880</v>
      </c>
      <c r="L173" s="14" t="n">
        <f aca="false">L163+L170+L172</f>
        <v>34375</v>
      </c>
      <c r="M173" s="14" t="n">
        <f aca="false">M163+M170+M172</f>
        <v>56167</v>
      </c>
      <c r="N173" s="14" t="n">
        <f aca="false">N163+N170+N172</f>
        <v>44175</v>
      </c>
      <c r="O173" s="14" t="n">
        <f aca="false">O163+O170+O172</f>
        <v>58279</v>
      </c>
      <c r="P173" s="14" t="n">
        <f aca="false">P163+P170+P172</f>
        <v>1186876</v>
      </c>
      <c r="Q173" s="14" t="n">
        <f aca="false">Q163+Q170+Q172</f>
        <v>196111.79</v>
      </c>
      <c r="R173" s="15" t="n">
        <f aca="false">Q173/$P173</f>
        <v>0.165233596432989</v>
      </c>
      <c r="S173" s="14" t="n">
        <f aca="false">S163+S170+S172</f>
        <v>434293.39</v>
      </c>
      <c r="T173" s="15" t="n">
        <f aca="false">S173/$P173</f>
        <v>0.365913027140156</v>
      </c>
      <c r="U173" s="14" t="n">
        <f aca="false">U163+U170+U172</f>
        <v>696166.44</v>
      </c>
      <c r="V173" s="15" t="n">
        <f aca="false">U173/$P173</f>
        <v>0.586553641660965</v>
      </c>
      <c r="W173" s="14" t="n">
        <f aca="false">W163+W170+W172</f>
        <v>1055311.01</v>
      </c>
      <c r="X173" s="15" t="n">
        <f aca="false">W173/$P173</f>
        <v>0.889150180810801</v>
      </c>
      <c r="Y173" s="14" t="n">
        <f aca="false">Y163+Y170+Y172</f>
        <v>993880</v>
      </c>
      <c r="Z173" s="14" t="n">
        <f aca="false">Z163+Z170+Z172</f>
        <v>993880</v>
      </c>
    </row>
    <row r="175" customFormat="false" ht="13.9" hidden="false" customHeight="true" outlineLevel="0" collapsed="false">
      <c r="E175" s="39" t="s">
        <v>57</v>
      </c>
      <c r="F175" s="17" t="s">
        <v>178</v>
      </c>
      <c r="G175" s="40" t="n">
        <v>1640.06</v>
      </c>
      <c r="H175" s="40" t="n">
        <v>1107.63</v>
      </c>
      <c r="I175" s="40" t="n">
        <v>756</v>
      </c>
      <c r="J175" s="40" t="n">
        <v>944.35</v>
      </c>
      <c r="K175" s="82" t="n">
        <v>1403</v>
      </c>
      <c r="L175" s="40"/>
      <c r="M175" s="40"/>
      <c r="N175" s="40" t="n">
        <v>-85</v>
      </c>
      <c r="O175" s="40" t="n">
        <v>-89</v>
      </c>
      <c r="P175" s="40" t="n">
        <f aca="false">K175+SUM(L175:O175)</f>
        <v>1229</v>
      </c>
      <c r="Q175" s="40" t="n">
        <v>304.44</v>
      </c>
      <c r="R175" s="41" t="n">
        <f aca="false">Q175/$P175</f>
        <v>0.247713588283157</v>
      </c>
      <c r="S175" s="40" t="n">
        <v>667.2</v>
      </c>
      <c r="T175" s="41" t="n">
        <f aca="false">S175/$P175</f>
        <v>0.542880390561432</v>
      </c>
      <c r="U175" s="40" t="n">
        <v>977.92</v>
      </c>
      <c r="V175" s="41" t="n">
        <f aca="false">U175/$P175</f>
        <v>0.795703824247356</v>
      </c>
      <c r="W175" s="40" t="n">
        <v>1228.86</v>
      </c>
      <c r="X175" s="42" t="n">
        <f aca="false">W175/$P175</f>
        <v>0.999886086248983</v>
      </c>
      <c r="Y175" s="40" t="n">
        <f aca="false">K175</f>
        <v>1403</v>
      </c>
      <c r="Z175" s="43" t="n">
        <f aca="false">Y175</f>
        <v>1403</v>
      </c>
    </row>
    <row r="176" customFormat="false" ht="13.9" hidden="false" customHeight="true" outlineLevel="0" collapsed="false">
      <c r="E176" s="44"/>
      <c r="F176" s="83" t="s">
        <v>179</v>
      </c>
      <c r="G176" s="70"/>
      <c r="H176" s="70" t="n">
        <v>2622.33</v>
      </c>
      <c r="I176" s="70" t="n">
        <v>2628</v>
      </c>
      <c r="J176" s="70" t="n">
        <v>2628</v>
      </c>
      <c r="K176" s="84" t="n">
        <v>5279</v>
      </c>
      <c r="L176" s="70"/>
      <c r="M176" s="70"/>
      <c r="N176" s="70" t="n">
        <v>595</v>
      </c>
      <c r="O176" s="70"/>
      <c r="P176" s="70" t="n">
        <f aca="false">K176+SUM(L176:O176)</f>
        <v>5874</v>
      </c>
      <c r="Q176" s="70" t="n">
        <v>1556.96</v>
      </c>
      <c r="R176" s="71" t="n">
        <f aca="false">Q176/$P176</f>
        <v>0.265059584610146</v>
      </c>
      <c r="S176" s="70" t="n">
        <v>2995.85</v>
      </c>
      <c r="T176" s="71" t="n">
        <f aca="false">S176/$P176</f>
        <v>0.51001872659176</v>
      </c>
      <c r="U176" s="70" t="n">
        <v>4434.74</v>
      </c>
      <c r="V176" s="71" t="n">
        <f aca="false">U176/$P176</f>
        <v>0.754977868573374</v>
      </c>
      <c r="W176" s="70" t="n">
        <v>5873.63</v>
      </c>
      <c r="X176" s="47" t="n">
        <f aca="false">W176/$P176</f>
        <v>0.999937010554988</v>
      </c>
      <c r="Y176" s="70" t="n">
        <f aca="false">K176</f>
        <v>5279</v>
      </c>
      <c r="Z176" s="48" t="n">
        <f aca="false">Y176</f>
        <v>5279</v>
      </c>
    </row>
    <row r="177" customFormat="false" ht="13.9" hidden="false" customHeight="true" outlineLevel="0" collapsed="false">
      <c r="E177" s="44"/>
      <c r="F177" s="83" t="s">
        <v>180</v>
      </c>
      <c r="G177" s="70" t="n">
        <v>5930.27</v>
      </c>
      <c r="H177" s="70" t="n">
        <v>5541.77</v>
      </c>
      <c r="I177" s="70" t="n">
        <v>3828</v>
      </c>
      <c r="J177" s="70" t="n">
        <v>4785.67</v>
      </c>
      <c r="K177" s="84" t="n">
        <v>7110</v>
      </c>
      <c r="L177" s="70"/>
      <c r="M177" s="70"/>
      <c r="N177" s="70" t="n">
        <v>-407</v>
      </c>
      <c r="O177" s="70" t="n">
        <v>248</v>
      </c>
      <c r="P177" s="70" t="n">
        <f aca="false">K177+SUM(L177:O177)</f>
        <v>6951</v>
      </c>
      <c r="Q177" s="70" t="n">
        <v>1548.05</v>
      </c>
      <c r="R177" s="71" t="n">
        <f aca="false">Q177/$P177</f>
        <v>0.222708962739174</v>
      </c>
      <c r="S177" s="70" t="n">
        <v>3392.7</v>
      </c>
      <c r="T177" s="71" t="n">
        <f aca="false">S177/$P177</f>
        <v>0.488088044885628</v>
      </c>
      <c r="U177" s="70" t="n">
        <v>4972.75</v>
      </c>
      <c r="V177" s="71" t="n">
        <f aca="false">U177/$P177</f>
        <v>0.715400661775284</v>
      </c>
      <c r="W177" s="70" t="n">
        <v>6951.59</v>
      </c>
      <c r="X177" s="47" t="n">
        <f aca="false">W177/$P177</f>
        <v>1.0000848798734</v>
      </c>
      <c r="Y177" s="70" t="n">
        <f aca="false">K177</f>
        <v>7110</v>
      </c>
      <c r="Z177" s="48" t="n">
        <f aca="false">Y177</f>
        <v>7110</v>
      </c>
    </row>
    <row r="178" customFormat="false" ht="13.9" hidden="false" customHeight="true" outlineLevel="0" collapsed="false">
      <c r="E178" s="44"/>
      <c r="F178" s="83" t="s">
        <v>181</v>
      </c>
      <c r="G178" s="70"/>
      <c r="H178" s="84" t="n">
        <v>874.11</v>
      </c>
      <c r="I178" s="84" t="n">
        <v>876</v>
      </c>
      <c r="J178" s="84" t="n">
        <v>876</v>
      </c>
      <c r="K178" s="84" t="n">
        <v>1759</v>
      </c>
      <c r="L178" s="84"/>
      <c r="M178" s="84"/>
      <c r="N178" s="84" t="n">
        <v>39</v>
      </c>
      <c r="O178" s="84" t="n">
        <v>160</v>
      </c>
      <c r="P178" s="84" t="n">
        <f aca="false">K178+SUM(L178:O178)</f>
        <v>1958</v>
      </c>
      <c r="Q178" s="84" t="n">
        <v>518.98</v>
      </c>
      <c r="R178" s="85" t="n">
        <f aca="false">Q178/$P178</f>
        <v>0.265056179775281</v>
      </c>
      <c r="S178" s="84" t="n">
        <v>998.59</v>
      </c>
      <c r="T178" s="85" t="n">
        <f aca="false">S178/$P178</f>
        <v>0.510005107252298</v>
      </c>
      <c r="U178" s="84" t="n">
        <v>1478.2</v>
      </c>
      <c r="V178" s="85" t="n">
        <f aca="false">U178/$P178</f>
        <v>0.754954034729316</v>
      </c>
      <c r="W178" s="84" t="n">
        <v>1957.81</v>
      </c>
      <c r="X178" s="51" t="n">
        <f aca="false">W178/$P178</f>
        <v>0.999902962206333</v>
      </c>
      <c r="Y178" s="70" t="n">
        <f aca="false">K178</f>
        <v>1759</v>
      </c>
      <c r="Z178" s="48" t="n">
        <f aca="false">Y178</f>
        <v>1759</v>
      </c>
    </row>
    <row r="179" customFormat="false" ht="13.9" hidden="false" customHeight="true" outlineLevel="0" collapsed="false">
      <c r="E179" s="52"/>
      <c r="F179" s="86" t="s">
        <v>182</v>
      </c>
      <c r="G179" s="54" t="n">
        <v>1452.48</v>
      </c>
      <c r="H179" s="87" t="n">
        <v>1383.6</v>
      </c>
      <c r="I179" s="87" t="n">
        <v>974</v>
      </c>
      <c r="J179" s="87" t="n">
        <v>974.05</v>
      </c>
      <c r="K179" s="87" t="n">
        <v>1624</v>
      </c>
      <c r="L179" s="87"/>
      <c r="M179" s="87" t="n">
        <v>-237</v>
      </c>
      <c r="N179" s="87" t="n">
        <v>-1387</v>
      </c>
      <c r="O179" s="87" t="n">
        <v>1624</v>
      </c>
      <c r="P179" s="87" t="n">
        <f aca="false">K179+SUM(L179:O179)</f>
        <v>1624</v>
      </c>
      <c r="Q179" s="87" t="n">
        <v>0</v>
      </c>
      <c r="R179" s="88" t="n">
        <f aca="false">Q179/$P179</f>
        <v>0</v>
      </c>
      <c r="S179" s="87" t="n">
        <v>0</v>
      </c>
      <c r="T179" s="88" t="n">
        <f aca="false">S179/$P179</f>
        <v>0</v>
      </c>
      <c r="U179" s="87" t="n">
        <v>0</v>
      </c>
      <c r="V179" s="88" t="n">
        <f aca="false">U179/$P179</f>
        <v>0</v>
      </c>
      <c r="W179" s="87" t="n">
        <v>1624.18</v>
      </c>
      <c r="X179" s="89" t="n">
        <f aca="false">W179/$P179</f>
        <v>1.00011083743842</v>
      </c>
      <c r="Y179" s="54" t="n">
        <f aca="false">K179</f>
        <v>1624</v>
      </c>
      <c r="Z179" s="57" t="n">
        <f aca="false">Y179</f>
        <v>1624</v>
      </c>
    </row>
    <row r="181" customFormat="false" ht="13.9" hidden="false" customHeight="true" outlineLevel="0" collapsed="false">
      <c r="D181" s="19" t="s">
        <v>183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20"/>
      <c r="S181" s="19"/>
      <c r="T181" s="20"/>
      <c r="U181" s="19"/>
      <c r="V181" s="20"/>
      <c r="W181" s="19"/>
      <c r="X181" s="20"/>
      <c r="Y181" s="19"/>
      <c r="Z181" s="19"/>
    </row>
    <row r="182" customFormat="false" ht="13.9" hidden="false" customHeight="true" outlineLevel="0" collapsed="false">
      <c r="D182" s="6"/>
      <c r="E182" s="6"/>
      <c r="F182" s="6"/>
      <c r="G182" s="7" t="s">
        <v>1</v>
      </c>
      <c r="H182" s="7" t="s">
        <v>2</v>
      </c>
      <c r="I182" s="7" t="s">
        <v>3</v>
      </c>
      <c r="J182" s="7" t="s">
        <v>4</v>
      </c>
      <c r="K182" s="7" t="s">
        <v>5</v>
      </c>
      <c r="L182" s="7" t="s">
        <v>6</v>
      </c>
      <c r="M182" s="7" t="s">
        <v>7</v>
      </c>
      <c r="N182" s="7" t="s">
        <v>8</v>
      </c>
      <c r="O182" s="7" t="s">
        <v>9</v>
      </c>
      <c r="P182" s="7" t="s">
        <v>10</v>
      </c>
      <c r="Q182" s="7" t="s">
        <v>11</v>
      </c>
      <c r="R182" s="8" t="s">
        <v>12</v>
      </c>
      <c r="S182" s="7" t="s">
        <v>13</v>
      </c>
      <c r="T182" s="8" t="s">
        <v>14</v>
      </c>
      <c r="U182" s="7" t="s">
        <v>15</v>
      </c>
      <c r="V182" s="8" t="s">
        <v>16</v>
      </c>
      <c r="W182" s="7" t="s">
        <v>17</v>
      </c>
      <c r="X182" s="8" t="s">
        <v>18</v>
      </c>
      <c r="Y182" s="7" t="s">
        <v>19</v>
      </c>
      <c r="Z182" s="7" t="s">
        <v>20</v>
      </c>
    </row>
    <row r="183" customFormat="false" ht="13.9" hidden="false" customHeight="true" outlineLevel="0" collapsed="false">
      <c r="A183" s="1" t="n">
        <v>3</v>
      </c>
      <c r="D183" s="21" t="s">
        <v>21</v>
      </c>
      <c r="E183" s="22" t="n">
        <v>41</v>
      </c>
      <c r="F183" s="22" t="s">
        <v>23</v>
      </c>
      <c r="G183" s="23" t="n">
        <f aca="false">G193</f>
        <v>51834.96</v>
      </c>
      <c r="H183" s="23" t="n">
        <f aca="false">H193</f>
        <v>50768.51</v>
      </c>
      <c r="I183" s="23" t="n">
        <f aca="false">I193</f>
        <v>48425</v>
      </c>
      <c r="J183" s="23" t="n">
        <f aca="false">J193</f>
        <v>37045.97</v>
      </c>
      <c r="K183" s="23" t="n">
        <f aca="false">K193</f>
        <v>37325</v>
      </c>
      <c r="L183" s="23" t="n">
        <f aca="false">L193</f>
        <v>1000</v>
      </c>
      <c r="M183" s="23" t="n">
        <f aca="false">M193</f>
        <v>600</v>
      </c>
      <c r="N183" s="23" t="n">
        <f aca="false">N193</f>
        <v>-1884</v>
      </c>
      <c r="O183" s="23" t="n">
        <f aca="false">O193</f>
        <v>1908</v>
      </c>
      <c r="P183" s="23" t="n">
        <f aca="false">P193</f>
        <v>38949</v>
      </c>
      <c r="Q183" s="23" t="n">
        <f aca="false">Q193</f>
        <v>9110.34</v>
      </c>
      <c r="R183" s="24" t="n">
        <f aca="false">Q183/$P183</f>
        <v>0.23390433643996</v>
      </c>
      <c r="S183" s="23" t="n">
        <f aca="false">S193</f>
        <v>19737.2</v>
      </c>
      <c r="T183" s="24" t="n">
        <f aca="false">S183/$P183</f>
        <v>0.506744717451026</v>
      </c>
      <c r="U183" s="23" t="n">
        <f aca="false">U193</f>
        <v>27537.65</v>
      </c>
      <c r="V183" s="24" t="n">
        <f aca="false">U183/$P183</f>
        <v>0.707018151942284</v>
      </c>
      <c r="W183" s="23" t="n">
        <f aca="false">W193</f>
        <v>38948.02</v>
      </c>
      <c r="X183" s="24" t="n">
        <f aca="false">W183/$P183</f>
        <v>0.999974838891884</v>
      </c>
      <c r="Y183" s="23" t="n">
        <f aca="false">Y193</f>
        <v>38139</v>
      </c>
      <c r="Z183" s="23" t="n">
        <f aca="false">Z193</f>
        <v>39039</v>
      </c>
    </row>
    <row r="184" customFormat="false" ht="13.9" hidden="false" customHeight="true" outlineLevel="0" collapsed="false">
      <c r="A184" s="1" t="n">
        <v>3</v>
      </c>
      <c r="D184" s="21" t="s">
        <v>21</v>
      </c>
      <c r="E184" s="22" t="n">
        <v>72</v>
      </c>
      <c r="F184" s="22" t="s">
        <v>25</v>
      </c>
      <c r="G184" s="23" t="n">
        <f aca="false">G195</f>
        <v>120.23</v>
      </c>
      <c r="H184" s="23" t="n">
        <f aca="false">H195</f>
        <v>141.05</v>
      </c>
      <c r="I184" s="23" t="n">
        <f aca="false">I195</f>
        <v>141</v>
      </c>
      <c r="J184" s="23" t="n">
        <f aca="false">J195</f>
        <v>166.86</v>
      </c>
      <c r="K184" s="23" t="n">
        <f aca="false">K195</f>
        <v>167</v>
      </c>
      <c r="L184" s="23" t="n">
        <f aca="false">L195</f>
        <v>0</v>
      </c>
      <c r="M184" s="23" t="n">
        <f aca="false">M195</f>
        <v>0</v>
      </c>
      <c r="N184" s="23" t="n">
        <f aca="false">N195</f>
        <v>0</v>
      </c>
      <c r="O184" s="23" t="n">
        <f aca="false">O195</f>
        <v>8</v>
      </c>
      <c r="P184" s="23" t="n">
        <f aca="false">P195</f>
        <v>175</v>
      </c>
      <c r="Q184" s="23" t="n">
        <f aca="false">Q195</f>
        <v>0</v>
      </c>
      <c r="R184" s="24" t="n">
        <f aca="false">Q184/$P184</f>
        <v>0</v>
      </c>
      <c r="S184" s="23" t="n">
        <f aca="false">S195</f>
        <v>0</v>
      </c>
      <c r="T184" s="24" t="n">
        <f aca="false">S184/$P184</f>
        <v>0</v>
      </c>
      <c r="U184" s="23" t="n">
        <f aca="false">U195</f>
        <v>0</v>
      </c>
      <c r="V184" s="24" t="n">
        <f aca="false">U184/$P184</f>
        <v>0</v>
      </c>
      <c r="W184" s="23" t="n">
        <f aca="false">W195</f>
        <v>174.69</v>
      </c>
      <c r="X184" s="24" t="n">
        <f aca="false">W184/$P184</f>
        <v>0.998228571428572</v>
      </c>
      <c r="Y184" s="23" t="n">
        <f aca="false">Y195</f>
        <v>167</v>
      </c>
      <c r="Z184" s="23" t="n">
        <f aca="false">Z195</f>
        <v>167</v>
      </c>
    </row>
    <row r="185" customFormat="false" ht="13.9" hidden="false" customHeight="true" outlineLevel="0" collapsed="false">
      <c r="A185" s="1" t="n">
        <v>3</v>
      </c>
      <c r="D185" s="17"/>
      <c r="E185" s="18"/>
      <c r="F185" s="25" t="s">
        <v>122</v>
      </c>
      <c r="G185" s="26" t="n">
        <f aca="false">SUM(G183:G184)</f>
        <v>51955.19</v>
      </c>
      <c r="H185" s="26" t="n">
        <f aca="false">SUM(H183:H184)</f>
        <v>50909.56</v>
      </c>
      <c r="I185" s="26" t="n">
        <f aca="false">SUM(I183:I184)</f>
        <v>48566</v>
      </c>
      <c r="J185" s="26" t="n">
        <f aca="false">SUM(J183:J184)</f>
        <v>37212.83</v>
      </c>
      <c r="K185" s="26" t="n">
        <f aca="false">SUM(K183:K184)</f>
        <v>37492</v>
      </c>
      <c r="L185" s="26" t="n">
        <f aca="false">SUM(L183:L184)</f>
        <v>1000</v>
      </c>
      <c r="M185" s="26" t="n">
        <f aca="false">SUM(M183:M184)</f>
        <v>600</v>
      </c>
      <c r="N185" s="26" t="n">
        <f aca="false">SUM(N183:N184)</f>
        <v>-1884</v>
      </c>
      <c r="O185" s="26" t="n">
        <f aca="false">SUM(O183:O184)</f>
        <v>1916</v>
      </c>
      <c r="P185" s="26" t="n">
        <f aca="false">SUM(P183:P184)</f>
        <v>39124</v>
      </c>
      <c r="Q185" s="26" t="n">
        <f aca="false">SUM(Q183:Q184)</f>
        <v>9110.34</v>
      </c>
      <c r="R185" s="27" t="n">
        <f aca="false">Q185/$P185</f>
        <v>0.232858092219609</v>
      </c>
      <c r="S185" s="26" t="n">
        <f aca="false">SUM(S183:S184)</f>
        <v>19737.2</v>
      </c>
      <c r="T185" s="27" t="n">
        <f aca="false">S185/$P185</f>
        <v>0.504478069727022</v>
      </c>
      <c r="U185" s="26" t="n">
        <f aca="false">SUM(U183:U184)</f>
        <v>27537.65</v>
      </c>
      <c r="V185" s="27" t="n">
        <f aca="false">U185/$P185</f>
        <v>0.70385568960229</v>
      </c>
      <c r="W185" s="26" t="n">
        <f aca="false">SUM(W183:W184)</f>
        <v>39122.71</v>
      </c>
      <c r="X185" s="27" t="n">
        <f aca="false">W185/$P185</f>
        <v>0.999967027911257</v>
      </c>
      <c r="Y185" s="26" t="n">
        <f aca="false">SUM(Y183:Y184)</f>
        <v>38306</v>
      </c>
      <c r="Z185" s="26" t="n">
        <f aca="false">SUM(Z183:Z184)</f>
        <v>39206</v>
      </c>
    </row>
    <row r="187" customFormat="false" ht="13.9" hidden="false" customHeight="true" outlineLevel="0" collapsed="false">
      <c r="D187" s="60" t="s">
        <v>184</v>
      </c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1"/>
      <c r="S187" s="60"/>
      <c r="T187" s="61"/>
      <c r="U187" s="60"/>
      <c r="V187" s="61"/>
      <c r="W187" s="60"/>
      <c r="X187" s="61"/>
      <c r="Y187" s="60"/>
      <c r="Z187" s="60"/>
    </row>
    <row r="188" customFormat="false" ht="13.9" hidden="false" customHeight="true" outlineLevel="0" collapsed="false">
      <c r="D188" s="7" t="s">
        <v>33</v>
      </c>
      <c r="E188" s="7" t="s">
        <v>34</v>
      </c>
      <c r="F188" s="7" t="s">
        <v>35</v>
      </c>
      <c r="G188" s="7" t="s">
        <v>1</v>
      </c>
      <c r="H188" s="7" t="s">
        <v>2</v>
      </c>
      <c r="I188" s="7" t="s">
        <v>3</v>
      </c>
      <c r="J188" s="7" t="s">
        <v>4</v>
      </c>
      <c r="K188" s="7" t="s">
        <v>5</v>
      </c>
      <c r="L188" s="7" t="s">
        <v>6</v>
      </c>
      <c r="M188" s="7" t="s">
        <v>7</v>
      </c>
      <c r="N188" s="7" t="s">
        <v>8</v>
      </c>
      <c r="O188" s="7" t="s">
        <v>9</v>
      </c>
      <c r="P188" s="7" t="s">
        <v>10</v>
      </c>
      <c r="Q188" s="7" t="s">
        <v>11</v>
      </c>
      <c r="R188" s="8" t="s">
        <v>12</v>
      </c>
      <c r="S188" s="7" t="s">
        <v>13</v>
      </c>
      <c r="T188" s="8" t="s">
        <v>14</v>
      </c>
      <c r="U188" s="7" t="s">
        <v>15</v>
      </c>
      <c r="V188" s="8" t="s">
        <v>16</v>
      </c>
      <c r="W188" s="7" t="s">
        <v>17</v>
      </c>
      <c r="X188" s="8" t="s">
        <v>18</v>
      </c>
      <c r="Y188" s="7" t="s">
        <v>19</v>
      </c>
      <c r="Z188" s="7" t="s">
        <v>20</v>
      </c>
    </row>
    <row r="189" customFormat="false" ht="13.9" hidden="false" customHeight="true" outlineLevel="0" collapsed="false">
      <c r="A189" s="1" t="n">
        <v>3</v>
      </c>
      <c r="B189" s="1" t="n">
        <v>1</v>
      </c>
      <c r="D189" s="38" t="s">
        <v>185</v>
      </c>
      <c r="E189" s="10" t="n">
        <v>610</v>
      </c>
      <c r="F189" s="10" t="s">
        <v>127</v>
      </c>
      <c r="G189" s="11" t="n">
        <v>12164.84</v>
      </c>
      <c r="H189" s="11" t="n">
        <v>12487.58</v>
      </c>
      <c r="I189" s="11" t="n">
        <v>11623</v>
      </c>
      <c r="J189" s="11" t="n">
        <v>12048.2</v>
      </c>
      <c r="K189" s="11" t="n">
        <v>12820</v>
      </c>
      <c r="L189" s="11"/>
      <c r="M189" s="11"/>
      <c r="N189" s="11" t="n">
        <v>1207</v>
      </c>
      <c r="O189" s="11" t="n">
        <f aca="false">1289+18</f>
        <v>1307</v>
      </c>
      <c r="P189" s="11" t="n">
        <f aca="false">K189+SUM(L189:O189)</f>
        <v>15334</v>
      </c>
      <c r="Q189" s="11" t="n">
        <v>3940.16</v>
      </c>
      <c r="R189" s="12" t="n">
        <f aca="false">Q189/$P189</f>
        <v>0.256955784531107</v>
      </c>
      <c r="S189" s="11" t="n">
        <v>7297.72</v>
      </c>
      <c r="T189" s="12" t="n">
        <f aca="false">S189/$P189</f>
        <v>0.475917568801357</v>
      </c>
      <c r="U189" s="11" t="n">
        <v>10340.72</v>
      </c>
      <c r="V189" s="12" t="n">
        <f aca="false">U189/$P189</f>
        <v>0.674365462371201</v>
      </c>
      <c r="W189" s="11" t="n">
        <v>15333.22</v>
      </c>
      <c r="X189" s="12" t="n">
        <f aca="false">W189/$P189</f>
        <v>0.999949132646407</v>
      </c>
      <c r="Y189" s="11" t="n">
        <v>13428</v>
      </c>
      <c r="Z189" s="11" t="n">
        <v>14078</v>
      </c>
    </row>
    <row r="190" customFormat="false" ht="13.9" hidden="false" customHeight="true" outlineLevel="0" collapsed="false">
      <c r="A190" s="1" t="n">
        <v>3</v>
      </c>
      <c r="B190" s="1" t="n">
        <v>1</v>
      </c>
      <c r="D190" s="38"/>
      <c r="E190" s="10" t="n">
        <v>620</v>
      </c>
      <c r="F190" s="10" t="s">
        <v>128</v>
      </c>
      <c r="G190" s="11" t="n">
        <v>4251.54</v>
      </c>
      <c r="H190" s="11" t="n">
        <v>3965.37</v>
      </c>
      <c r="I190" s="11" t="n">
        <v>4062</v>
      </c>
      <c r="J190" s="11" t="n">
        <v>4217.28</v>
      </c>
      <c r="K190" s="11" t="n">
        <v>4481</v>
      </c>
      <c r="L190" s="11"/>
      <c r="M190" s="11"/>
      <c r="N190" s="11" t="n">
        <v>395</v>
      </c>
      <c r="O190" s="11" t="n">
        <v>483</v>
      </c>
      <c r="P190" s="11" t="n">
        <f aca="false">K190+SUM(L190:O190)</f>
        <v>5359</v>
      </c>
      <c r="Q190" s="11" t="n">
        <v>1376.96</v>
      </c>
      <c r="R190" s="12" t="n">
        <f aca="false">Q190/$P190</f>
        <v>0.256943459600672</v>
      </c>
      <c r="S190" s="11" t="n">
        <v>2550.35</v>
      </c>
      <c r="T190" s="12" t="n">
        <f aca="false">S190/$P190</f>
        <v>0.475900354543758</v>
      </c>
      <c r="U190" s="11" t="n">
        <v>3613.83</v>
      </c>
      <c r="V190" s="12" t="n">
        <f aca="false">U190/$P190</f>
        <v>0.674347826086957</v>
      </c>
      <c r="W190" s="11" t="n">
        <v>5358.63</v>
      </c>
      <c r="X190" s="12" t="n">
        <f aca="false">W190/$P190</f>
        <v>0.999930957268147</v>
      </c>
      <c r="Y190" s="11" t="n">
        <v>4693</v>
      </c>
      <c r="Z190" s="11" t="n">
        <v>4921</v>
      </c>
    </row>
    <row r="191" customFormat="false" ht="13.9" hidden="false" customHeight="true" outlineLevel="0" collapsed="false">
      <c r="A191" s="1" t="n">
        <v>3</v>
      </c>
      <c r="B191" s="1" t="n">
        <v>1</v>
      </c>
      <c r="D191" s="38"/>
      <c r="E191" s="10" t="n">
        <v>630</v>
      </c>
      <c r="F191" s="10" t="s">
        <v>129</v>
      </c>
      <c r="G191" s="11" t="n">
        <v>35418.58</v>
      </c>
      <c r="H191" s="11" t="n">
        <v>34315.56</v>
      </c>
      <c r="I191" s="11" t="n">
        <f aca="false">989+31751</f>
        <v>32740</v>
      </c>
      <c r="J191" s="11" t="n">
        <v>20480.49</v>
      </c>
      <c r="K191" s="11" t="n">
        <f aca="false">976+19048</f>
        <v>20024</v>
      </c>
      <c r="L191" s="11" t="n">
        <v>1000</v>
      </c>
      <c r="M191" s="11" t="n">
        <v>600</v>
      </c>
      <c r="N191" s="11" t="n">
        <v>-3486</v>
      </c>
      <c r="O191" s="11" t="n">
        <f aca="false">-422+540</f>
        <v>118</v>
      </c>
      <c r="P191" s="11" t="n">
        <f aca="false">K191+SUM(L191:O191)</f>
        <v>18256</v>
      </c>
      <c r="Q191" s="11" t="n">
        <v>3793.22</v>
      </c>
      <c r="R191" s="12" t="n">
        <f aca="false">Q191/$P191</f>
        <v>0.207779360210342</v>
      </c>
      <c r="S191" s="11" t="n">
        <v>9889.13</v>
      </c>
      <c r="T191" s="12" t="n">
        <f aca="false">S191/$P191</f>
        <v>0.541692046450482</v>
      </c>
      <c r="U191" s="11" t="n">
        <v>13583.1</v>
      </c>
      <c r="V191" s="12" t="n">
        <f aca="false">U191/$P191</f>
        <v>0.744034837861525</v>
      </c>
      <c r="W191" s="11" t="n">
        <v>18256.17</v>
      </c>
      <c r="X191" s="12" t="n">
        <f aca="false">W191/$P191</f>
        <v>1.00000931200701</v>
      </c>
      <c r="Y191" s="11" t="n">
        <f aca="false">970+19048</f>
        <v>20018</v>
      </c>
      <c r="Z191" s="11" t="n">
        <f aca="false">992+19048</f>
        <v>20040</v>
      </c>
    </row>
    <row r="192" customFormat="false" ht="13.9" hidden="true" customHeight="true" outlineLevel="0" collapsed="false">
      <c r="D192" s="38"/>
      <c r="E192" s="10" t="n">
        <v>640</v>
      </c>
      <c r="F192" s="10" t="s">
        <v>130</v>
      </c>
      <c r="G192" s="11" t="n">
        <v>0</v>
      </c>
      <c r="H192" s="11" t="n">
        <v>0</v>
      </c>
      <c r="I192" s="11" t="n">
        <v>0</v>
      </c>
      <c r="J192" s="11" t="n">
        <v>300</v>
      </c>
      <c r="K192" s="11" t="n">
        <v>0</v>
      </c>
      <c r="L192" s="11"/>
      <c r="M192" s="11"/>
      <c r="N192" s="11"/>
      <c r="O192" s="11"/>
      <c r="P192" s="11" t="n">
        <f aca="false">K192+SUM(L192:O192)</f>
        <v>0</v>
      </c>
      <c r="Q192" s="11" t="n">
        <v>0</v>
      </c>
      <c r="R192" s="12" t="e">
        <f aca="false">Q192/$P192</f>
        <v>#DIV/0!</v>
      </c>
      <c r="S192" s="11" t="n">
        <v>0</v>
      </c>
      <c r="T192" s="12" t="e">
        <f aca="false">S192/$P192</f>
        <v>#DIV/0!</v>
      </c>
      <c r="U192" s="11" t="n">
        <v>0</v>
      </c>
      <c r="V192" s="12" t="e">
        <f aca="false">U192/$P192</f>
        <v>#DIV/0!</v>
      </c>
      <c r="W192" s="11" t="n">
        <v>0</v>
      </c>
      <c r="X192" s="12" t="e">
        <f aca="false">W192/$P192</f>
        <v>#DIV/0!</v>
      </c>
      <c r="Y192" s="11" t="n">
        <v>0</v>
      </c>
      <c r="Z192" s="11" t="n">
        <v>0</v>
      </c>
    </row>
    <row r="193" customFormat="false" ht="13.9" hidden="false" customHeight="true" outlineLevel="0" collapsed="false">
      <c r="A193" s="1" t="n">
        <v>3</v>
      </c>
      <c r="B193" s="1" t="n">
        <v>1</v>
      </c>
      <c r="D193" s="75" t="s">
        <v>21</v>
      </c>
      <c r="E193" s="35" t="n">
        <v>41</v>
      </c>
      <c r="F193" s="35" t="s">
        <v>23</v>
      </c>
      <c r="G193" s="36" t="n">
        <f aca="false">SUM(G189:G192)</f>
        <v>51834.96</v>
      </c>
      <c r="H193" s="36" t="n">
        <f aca="false">SUM(H189:H192)</f>
        <v>50768.51</v>
      </c>
      <c r="I193" s="36" t="n">
        <f aca="false">SUM(I189:I192)</f>
        <v>48425</v>
      </c>
      <c r="J193" s="36" t="n">
        <f aca="false">SUM(J189:J192)</f>
        <v>37045.97</v>
      </c>
      <c r="K193" s="36" t="n">
        <f aca="false">SUM(K189:K192)</f>
        <v>37325</v>
      </c>
      <c r="L193" s="36" t="n">
        <f aca="false">SUM(L189:L192)</f>
        <v>1000</v>
      </c>
      <c r="M193" s="36" t="n">
        <f aca="false">SUM(M189:M192)</f>
        <v>600</v>
      </c>
      <c r="N193" s="36" t="n">
        <f aca="false">SUM(N189:N192)</f>
        <v>-1884</v>
      </c>
      <c r="O193" s="36" t="n">
        <f aca="false">SUM(O189:O192)</f>
        <v>1908</v>
      </c>
      <c r="P193" s="36" t="n">
        <f aca="false">SUM(P189:P192)</f>
        <v>38949</v>
      </c>
      <c r="Q193" s="36" t="n">
        <f aca="false">SUM(Q189:Q192)</f>
        <v>9110.34</v>
      </c>
      <c r="R193" s="37" t="n">
        <f aca="false">Q193/$P193</f>
        <v>0.23390433643996</v>
      </c>
      <c r="S193" s="36" t="n">
        <f aca="false">SUM(S189:S192)</f>
        <v>19737.2</v>
      </c>
      <c r="T193" s="37" t="n">
        <f aca="false">S193/$P193</f>
        <v>0.506744717451026</v>
      </c>
      <c r="U193" s="36" t="n">
        <f aca="false">SUM(U189:U192)</f>
        <v>27537.65</v>
      </c>
      <c r="V193" s="37" t="n">
        <f aca="false">U193/$P193</f>
        <v>0.707018151942284</v>
      </c>
      <c r="W193" s="36" t="n">
        <f aca="false">SUM(W189:W192)</f>
        <v>38948.02</v>
      </c>
      <c r="X193" s="37" t="n">
        <f aca="false">W193/$P193</f>
        <v>0.999974838891884</v>
      </c>
      <c r="Y193" s="36" t="n">
        <f aca="false">SUM(Y189:Y192)</f>
        <v>38139</v>
      </c>
      <c r="Z193" s="36" t="n">
        <f aca="false">SUM(Z189:Z192)</f>
        <v>39039</v>
      </c>
    </row>
    <row r="194" customFormat="false" ht="13.9" hidden="false" customHeight="true" outlineLevel="0" collapsed="false">
      <c r="A194" s="1" t="n">
        <v>3</v>
      </c>
      <c r="B194" s="1" t="n">
        <v>1</v>
      </c>
      <c r="D194" s="68" t="s">
        <v>185</v>
      </c>
      <c r="E194" s="10" t="n">
        <v>640</v>
      </c>
      <c r="F194" s="10" t="s">
        <v>130</v>
      </c>
      <c r="G194" s="11" t="n">
        <v>120.23</v>
      </c>
      <c r="H194" s="11" t="n">
        <v>141.05</v>
      </c>
      <c r="I194" s="11" t="n">
        <v>141</v>
      </c>
      <c r="J194" s="11" t="n">
        <v>166.86</v>
      </c>
      <c r="K194" s="11" t="n">
        <v>167</v>
      </c>
      <c r="L194" s="11"/>
      <c r="M194" s="11"/>
      <c r="N194" s="11"/>
      <c r="O194" s="11" t="n">
        <v>8</v>
      </c>
      <c r="P194" s="11" t="n">
        <f aca="false">K194+SUM(L194:O194)</f>
        <v>175</v>
      </c>
      <c r="Q194" s="11" t="n">
        <v>0</v>
      </c>
      <c r="R194" s="12" t="n">
        <f aca="false">Q194/$P194</f>
        <v>0</v>
      </c>
      <c r="S194" s="11" t="n">
        <v>0</v>
      </c>
      <c r="T194" s="12" t="n">
        <f aca="false">S194/$P194</f>
        <v>0</v>
      </c>
      <c r="U194" s="11" t="n">
        <v>0</v>
      </c>
      <c r="V194" s="12" t="n">
        <f aca="false">U194/$P194</f>
        <v>0</v>
      </c>
      <c r="W194" s="11" t="n">
        <v>174.69</v>
      </c>
      <c r="X194" s="12" t="n">
        <f aca="false">W194/$P194</f>
        <v>0.998228571428572</v>
      </c>
      <c r="Y194" s="11" t="n">
        <f aca="false">K194</f>
        <v>167</v>
      </c>
      <c r="Z194" s="11" t="n">
        <f aca="false">Y194</f>
        <v>167</v>
      </c>
    </row>
    <row r="195" customFormat="false" ht="13.9" hidden="false" customHeight="true" outlineLevel="0" collapsed="false">
      <c r="A195" s="1" t="n">
        <v>3</v>
      </c>
      <c r="B195" s="1" t="n">
        <v>1</v>
      </c>
      <c r="D195" s="75" t="s">
        <v>21</v>
      </c>
      <c r="E195" s="35" t="n">
        <v>72</v>
      </c>
      <c r="F195" s="35" t="s">
        <v>25</v>
      </c>
      <c r="G195" s="36" t="n">
        <f aca="false">SUM(G194:G194)</f>
        <v>120.23</v>
      </c>
      <c r="H195" s="36" t="n">
        <f aca="false">SUM(H194:H194)</f>
        <v>141.05</v>
      </c>
      <c r="I195" s="36" t="n">
        <f aca="false">SUM(I194:I194)</f>
        <v>141</v>
      </c>
      <c r="J195" s="36" t="n">
        <f aca="false">SUM(J194:J194)</f>
        <v>166.86</v>
      </c>
      <c r="K195" s="36" t="n">
        <f aca="false">SUM(K194:K194)</f>
        <v>167</v>
      </c>
      <c r="L195" s="36" t="n">
        <f aca="false">SUM(L194:L194)</f>
        <v>0</v>
      </c>
      <c r="M195" s="36" t="n">
        <f aca="false">SUM(M194:M194)</f>
        <v>0</v>
      </c>
      <c r="N195" s="36" t="n">
        <f aca="false">SUM(N194:N194)</f>
        <v>0</v>
      </c>
      <c r="O195" s="36" t="n">
        <f aca="false">SUM(O194:O194)</f>
        <v>8</v>
      </c>
      <c r="P195" s="36" t="n">
        <f aca="false">SUM(P194:P194)</f>
        <v>175</v>
      </c>
      <c r="Q195" s="36" t="n">
        <f aca="false">SUM(Q194:Q194)</f>
        <v>0</v>
      </c>
      <c r="R195" s="37" t="n">
        <f aca="false">Q195/$P195</f>
        <v>0</v>
      </c>
      <c r="S195" s="36" t="n">
        <f aca="false">SUM(S194:S194)</f>
        <v>0</v>
      </c>
      <c r="T195" s="37" t="n">
        <f aca="false">S195/$P195</f>
        <v>0</v>
      </c>
      <c r="U195" s="36" t="n">
        <f aca="false">SUM(U194:U194)</f>
        <v>0</v>
      </c>
      <c r="V195" s="37" t="n">
        <f aca="false">U195/$P195</f>
        <v>0</v>
      </c>
      <c r="W195" s="36" t="n">
        <f aca="false">SUM(W194:W194)</f>
        <v>174.69</v>
      </c>
      <c r="X195" s="37" t="n">
        <f aca="false">W195/$P195</f>
        <v>0.998228571428572</v>
      </c>
      <c r="Y195" s="36" t="n">
        <f aca="false">SUM(Y194:Y194)</f>
        <v>167</v>
      </c>
      <c r="Z195" s="36" t="n">
        <f aca="false">SUM(Z194:Z194)</f>
        <v>167</v>
      </c>
    </row>
    <row r="196" customFormat="false" ht="13.9" hidden="false" customHeight="true" outlineLevel="0" collapsed="false">
      <c r="A196" s="1" t="n">
        <v>3</v>
      </c>
      <c r="B196" s="1" t="n">
        <v>1</v>
      </c>
      <c r="D196" s="102"/>
      <c r="E196" s="18"/>
      <c r="F196" s="13" t="s">
        <v>122</v>
      </c>
      <c r="G196" s="14" t="n">
        <f aca="false">G193+G195</f>
        <v>51955.19</v>
      </c>
      <c r="H196" s="14" t="n">
        <f aca="false">H193+H195</f>
        <v>50909.56</v>
      </c>
      <c r="I196" s="14" t="n">
        <f aca="false">I193+I195</f>
        <v>48566</v>
      </c>
      <c r="J196" s="14" t="n">
        <f aca="false">J193+J195</f>
        <v>37212.83</v>
      </c>
      <c r="K196" s="14" t="n">
        <f aca="false">K193+K195</f>
        <v>37492</v>
      </c>
      <c r="L196" s="14" t="n">
        <f aca="false">L193+L195</f>
        <v>1000</v>
      </c>
      <c r="M196" s="14" t="n">
        <f aca="false">M193+M195</f>
        <v>600</v>
      </c>
      <c r="N196" s="14" t="n">
        <f aca="false">N193+N195</f>
        <v>-1884</v>
      </c>
      <c r="O196" s="14" t="n">
        <f aca="false">O193+O195</f>
        <v>1916</v>
      </c>
      <c r="P196" s="14" t="n">
        <f aca="false">P193+P195</f>
        <v>39124</v>
      </c>
      <c r="Q196" s="14" t="n">
        <f aca="false">Q193+Q195</f>
        <v>9110.34</v>
      </c>
      <c r="R196" s="15" t="n">
        <f aca="false">Q196/$P196</f>
        <v>0.232858092219609</v>
      </c>
      <c r="S196" s="14" t="n">
        <f aca="false">S193+S195</f>
        <v>19737.2</v>
      </c>
      <c r="T196" s="15" t="n">
        <f aca="false">S196/$P196</f>
        <v>0.504478069727022</v>
      </c>
      <c r="U196" s="14" t="n">
        <f aca="false">U193+U195</f>
        <v>27537.65</v>
      </c>
      <c r="V196" s="15" t="n">
        <f aca="false">U196/$P196</f>
        <v>0.70385568960229</v>
      </c>
      <c r="W196" s="14" t="n">
        <f aca="false">W193+W195</f>
        <v>39122.71</v>
      </c>
      <c r="X196" s="15" t="n">
        <f aca="false">W196/$P196</f>
        <v>0.999967027911257</v>
      </c>
      <c r="Y196" s="14" t="n">
        <f aca="false">Y193+Y195</f>
        <v>38306</v>
      </c>
      <c r="Z196" s="14" t="n">
        <f aca="false">Z193+Z195</f>
        <v>39206</v>
      </c>
    </row>
    <row r="198" customFormat="false" ht="13.9" hidden="false" customHeight="true" outlineLevel="0" collapsed="false">
      <c r="E198" s="39" t="s">
        <v>57</v>
      </c>
      <c r="F198" s="17" t="s">
        <v>61</v>
      </c>
      <c r="G198" s="40" t="n">
        <v>13071.88</v>
      </c>
      <c r="H198" s="82" t="n">
        <v>8885.85</v>
      </c>
      <c r="I198" s="82" t="n">
        <v>8900</v>
      </c>
      <c r="J198" s="82" t="n">
        <v>9000.09</v>
      </c>
      <c r="K198" s="82" t="n">
        <v>9000</v>
      </c>
      <c r="L198" s="82"/>
      <c r="M198" s="82" t="n">
        <v>-500</v>
      </c>
      <c r="N198" s="82"/>
      <c r="O198" s="82" t="n">
        <v>-493</v>
      </c>
      <c r="P198" s="82" t="n">
        <f aca="false">K198+SUM(L198:O198)</f>
        <v>8007</v>
      </c>
      <c r="Q198" s="82" t="n">
        <v>1871.9</v>
      </c>
      <c r="R198" s="103" t="n">
        <f aca="false">Q198/$P198</f>
        <v>0.233782939927563</v>
      </c>
      <c r="S198" s="82" t="n">
        <v>3571.37</v>
      </c>
      <c r="T198" s="103" t="n">
        <f aca="false">S198/$P198</f>
        <v>0.446030972898714</v>
      </c>
      <c r="U198" s="82" t="n">
        <v>6285.52</v>
      </c>
      <c r="V198" s="103" t="n">
        <f aca="false">U198/$P198</f>
        <v>0.785003122268016</v>
      </c>
      <c r="W198" s="82" t="n">
        <v>8007.06</v>
      </c>
      <c r="X198" s="104" t="n">
        <f aca="false">W198/$P198</f>
        <v>1.00000749344324</v>
      </c>
      <c r="Y198" s="40" t="n">
        <f aca="false">K198</f>
        <v>9000</v>
      </c>
      <c r="Z198" s="43" t="n">
        <f aca="false">Y198</f>
        <v>9000</v>
      </c>
    </row>
    <row r="199" customFormat="false" ht="13.9" hidden="false" customHeight="true" outlineLevel="0" collapsed="false">
      <c r="E199" s="44"/>
      <c r="F199" s="83" t="s">
        <v>147</v>
      </c>
      <c r="G199" s="70" t="n">
        <v>5757.29</v>
      </c>
      <c r="H199" s="84" t="n">
        <v>1837</v>
      </c>
      <c r="I199" s="84" t="n">
        <v>1628</v>
      </c>
      <c r="J199" s="84" t="n">
        <v>1539.43</v>
      </c>
      <c r="K199" s="84" t="n">
        <v>2045</v>
      </c>
      <c r="L199" s="84"/>
      <c r="M199" s="84"/>
      <c r="N199" s="84" t="n">
        <v>-1000</v>
      </c>
      <c r="O199" s="84"/>
      <c r="P199" s="84" t="n">
        <f aca="false">K199+SUM(L199:O199)</f>
        <v>1045</v>
      </c>
      <c r="Q199" s="84" t="n">
        <v>190</v>
      </c>
      <c r="R199" s="85" t="n">
        <f aca="false">Q199/$P199</f>
        <v>0.181818181818182</v>
      </c>
      <c r="S199" s="84" t="n">
        <v>475</v>
      </c>
      <c r="T199" s="85" t="n">
        <f aca="false">S199/$P199</f>
        <v>0.454545454545455</v>
      </c>
      <c r="U199" s="84" t="n">
        <v>760</v>
      </c>
      <c r="V199" s="85" t="n">
        <f aca="false">U199/$P199</f>
        <v>0.727272727272727</v>
      </c>
      <c r="W199" s="84" t="n">
        <v>1045</v>
      </c>
      <c r="X199" s="51" t="n">
        <f aca="false">W199/$P199</f>
        <v>1</v>
      </c>
      <c r="Y199" s="46" t="n">
        <f aca="false">K199</f>
        <v>2045</v>
      </c>
      <c r="Z199" s="48" t="n">
        <f aca="false">Y199</f>
        <v>2045</v>
      </c>
    </row>
    <row r="200" customFormat="false" ht="13.9" hidden="false" customHeight="true" outlineLevel="0" collapsed="false">
      <c r="E200" s="44"/>
      <c r="F200" s="45" t="s">
        <v>186</v>
      </c>
      <c r="G200" s="46" t="n">
        <v>7505.5</v>
      </c>
      <c r="H200" s="49" t="n">
        <v>14033.34</v>
      </c>
      <c r="I200" s="49" t="n">
        <v>14000</v>
      </c>
      <c r="J200" s="49" t="n">
        <v>1436.4</v>
      </c>
      <c r="K200" s="49" t="n">
        <v>1400</v>
      </c>
      <c r="L200" s="49"/>
      <c r="M200" s="49" t="n">
        <v>600</v>
      </c>
      <c r="N200" s="49"/>
      <c r="O200" s="49"/>
      <c r="P200" s="49" t="n">
        <f aca="false">K200+SUM(L200:O200)</f>
        <v>2000</v>
      </c>
      <c r="Q200" s="49" t="n">
        <v>0</v>
      </c>
      <c r="R200" s="50" t="n">
        <f aca="false">Q200/$P200</f>
        <v>0</v>
      </c>
      <c r="S200" s="49" t="n">
        <v>2595.26</v>
      </c>
      <c r="T200" s="50" t="n">
        <f aca="false">S200/$P200</f>
        <v>1.29763</v>
      </c>
      <c r="U200" s="49" t="n">
        <v>1526.26</v>
      </c>
      <c r="V200" s="50" t="n">
        <f aca="false">U200/$P200</f>
        <v>0.76313</v>
      </c>
      <c r="W200" s="49" t="n">
        <v>1526.26</v>
      </c>
      <c r="X200" s="51" t="n">
        <f aca="false">W200/$P200</f>
        <v>0.76313</v>
      </c>
      <c r="Y200" s="46" t="n">
        <f aca="false">K200</f>
        <v>1400</v>
      </c>
      <c r="Z200" s="48" t="n">
        <f aca="false">Y200</f>
        <v>1400</v>
      </c>
    </row>
    <row r="201" customFormat="false" ht="13.9" hidden="true" customHeight="true" outlineLevel="0" collapsed="false">
      <c r="E201" s="44"/>
      <c r="F201" s="1" t="s">
        <v>187</v>
      </c>
      <c r="G201" s="46" t="n">
        <v>649.49</v>
      </c>
      <c r="H201" s="46" t="n">
        <v>779.4</v>
      </c>
      <c r="I201" s="46" t="n">
        <v>780</v>
      </c>
      <c r="J201" s="46" t="n">
        <v>129.9</v>
      </c>
      <c r="K201" s="46" t="n">
        <v>780</v>
      </c>
      <c r="L201" s="46"/>
      <c r="M201" s="46"/>
      <c r="N201" s="46"/>
      <c r="O201" s="46"/>
      <c r="P201" s="46" t="n">
        <f aca="false">K201+SUM(L201:O201)</f>
        <v>780</v>
      </c>
      <c r="Q201" s="46"/>
      <c r="R201" s="2" t="n">
        <f aca="false">Q201/$P201</f>
        <v>0</v>
      </c>
      <c r="S201" s="46"/>
      <c r="T201" s="2" t="n">
        <f aca="false">S201/$P201</f>
        <v>0</v>
      </c>
      <c r="U201" s="46"/>
      <c r="V201" s="2" t="n">
        <f aca="false">U201/$P201</f>
        <v>0</v>
      </c>
      <c r="W201" s="46"/>
      <c r="X201" s="47" t="n">
        <f aca="false">W201/$P201</f>
        <v>0</v>
      </c>
      <c r="Y201" s="46" t="n">
        <f aca="false">K201</f>
        <v>780</v>
      </c>
      <c r="Z201" s="48" t="n">
        <f aca="false">Y201</f>
        <v>780</v>
      </c>
    </row>
    <row r="202" customFormat="false" ht="13.9" hidden="false" customHeight="true" outlineLevel="0" collapsed="false">
      <c r="E202" s="44"/>
      <c r="F202" s="1" t="s">
        <v>188</v>
      </c>
      <c r="G202" s="46" t="n">
        <v>1980</v>
      </c>
      <c r="H202" s="46" t="n">
        <v>2160</v>
      </c>
      <c r="I202" s="46" t="n">
        <v>2160</v>
      </c>
      <c r="J202" s="46" t="n">
        <v>2160</v>
      </c>
      <c r="K202" s="46" t="n">
        <v>2160</v>
      </c>
      <c r="L202" s="46"/>
      <c r="M202" s="46"/>
      <c r="N202" s="46"/>
      <c r="O202" s="46" t="n">
        <v>540</v>
      </c>
      <c r="P202" s="46" t="n">
        <f aca="false">K202+SUM(L202:O202)</f>
        <v>2700</v>
      </c>
      <c r="Q202" s="46" t="n">
        <v>540</v>
      </c>
      <c r="R202" s="2" t="n">
        <f aca="false">Q202/$P202</f>
        <v>0.2</v>
      </c>
      <c r="S202" s="46" t="n">
        <v>1080</v>
      </c>
      <c r="T202" s="2" t="n">
        <f aca="false">S202/$P202</f>
        <v>0.4</v>
      </c>
      <c r="U202" s="46" t="n">
        <v>1620</v>
      </c>
      <c r="V202" s="2" t="n">
        <f aca="false">U202/$P202</f>
        <v>0.6</v>
      </c>
      <c r="W202" s="46" t="n">
        <v>2700</v>
      </c>
      <c r="X202" s="47" t="n">
        <f aca="false">W202/$P202</f>
        <v>1</v>
      </c>
      <c r="Y202" s="46" t="n">
        <f aca="false">K202</f>
        <v>2160</v>
      </c>
      <c r="Z202" s="48" t="n">
        <f aca="false">Y202</f>
        <v>2160</v>
      </c>
    </row>
    <row r="203" customFormat="false" ht="13.9" hidden="false" customHeight="true" outlineLevel="0" collapsed="false">
      <c r="E203" s="52"/>
      <c r="F203" s="86" t="s">
        <v>189</v>
      </c>
      <c r="G203" s="54" t="n">
        <v>3781.11</v>
      </c>
      <c r="H203" s="54" t="n">
        <v>2745.97</v>
      </c>
      <c r="I203" s="54" t="n">
        <v>2750</v>
      </c>
      <c r="J203" s="54" t="n">
        <v>3329.83</v>
      </c>
      <c r="K203" s="54" t="n">
        <v>3330</v>
      </c>
      <c r="L203" s="54"/>
      <c r="M203" s="54"/>
      <c r="N203" s="54" t="n">
        <v>-1129</v>
      </c>
      <c r="O203" s="54"/>
      <c r="P203" s="54" t="n">
        <f aca="false">K203+SUM(L203:O203)</f>
        <v>2201</v>
      </c>
      <c r="Q203" s="54" t="n">
        <v>655</v>
      </c>
      <c r="R203" s="55" t="n">
        <f aca="false">Q203/$P203</f>
        <v>0.297592003634712</v>
      </c>
      <c r="S203" s="54" t="n">
        <v>891.61</v>
      </c>
      <c r="T203" s="55" t="n">
        <f aca="false">S203/$P203</f>
        <v>0.405093139482054</v>
      </c>
      <c r="U203" s="54" t="n">
        <v>1546.61</v>
      </c>
      <c r="V203" s="55" t="n">
        <f aca="false">U203/$P203</f>
        <v>0.702685143116765</v>
      </c>
      <c r="W203" s="54" t="n">
        <v>2201.12</v>
      </c>
      <c r="X203" s="56" t="n">
        <f aca="false">W203/$P203</f>
        <v>1.00005452067242</v>
      </c>
      <c r="Y203" s="54" t="n">
        <f aca="false">K203</f>
        <v>3330</v>
      </c>
      <c r="Z203" s="57" t="n">
        <f aca="false">Y203</f>
        <v>3330</v>
      </c>
    </row>
    <row r="204" customFormat="false" ht="13.9" hidden="true" customHeight="true" outlineLevel="0" collapsed="false">
      <c r="E204" s="52"/>
      <c r="F204" s="86" t="s">
        <v>190</v>
      </c>
      <c r="G204" s="54"/>
      <c r="H204" s="54" t="n">
        <v>292.8</v>
      </c>
      <c r="I204" s="54" t="n">
        <v>300</v>
      </c>
      <c r="J204" s="54" t="n">
        <v>0</v>
      </c>
      <c r="K204" s="54" t="n">
        <v>0</v>
      </c>
      <c r="L204" s="54"/>
      <c r="M204" s="54"/>
      <c r="N204" s="54"/>
      <c r="O204" s="54"/>
      <c r="P204" s="54" t="n">
        <f aca="false">K204+SUM(L204:O204)</f>
        <v>0</v>
      </c>
      <c r="Q204" s="54"/>
      <c r="R204" s="55" t="e">
        <f aca="false">Q204/$P204</f>
        <v>#DIV/0!</v>
      </c>
      <c r="S204" s="54"/>
      <c r="T204" s="55" t="e">
        <f aca="false">S204/$P204</f>
        <v>#DIV/0!</v>
      </c>
      <c r="U204" s="54"/>
      <c r="V204" s="55" t="e">
        <f aca="false">U204/$P204</f>
        <v>#DIV/0!</v>
      </c>
      <c r="W204" s="54"/>
      <c r="X204" s="56" t="e">
        <f aca="false">W204/$P204</f>
        <v>#DIV/0!</v>
      </c>
      <c r="Y204" s="54" t="n">
        <v>0</v>
      </c>
      <c r="Z204" s="57" t="n">
        <f aca="false">Y204</f>
        <v>0</v>
      </c>
    </row>
    <row r="206" customFormat="false" ht="13.9" hidden="false" customHeight="true" outlineLevel="0" collapsed="false">
      <c r="D206" s="19" t="s">
        <v>191</v>
      </c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20"/>
      <c r="S206" s="19"/>
      <c r="T206" s="20"/>
      <c r="U206" s="19"/>
      <c r="V206" s="20"/>
      <c r="W206" s="19"/>
      <c r="X206" s="20"/>
      <c r="Y206" s="19"/>
      <c r="Z206" s="19"/>
    </row>
    <row r="207" customFormat="false" ht="13.9" hidden="false" customHeight="true" outlineLevel="0" collapsed="false">
      <c r="D207" s="6"/>
      <c r="E207" s="6"/>
      <c r="F207" s="6"/>
      <c r="G207" s="7" t="s">
        <v>1</v>
      </c>
      <c r="H207" s="7" t="s">
        <v>2</v>
      </c>
      <c r="I207" s="7" t="s">
        <v>3</v>
      </c>
      <c r="J207" s="7" t="s">
        <v>4</v>
      </c>
      <c r="K207" s="7" t="s">
        <v>5</v>
      </c>
      <c r="L207" s="7" t="s">
        <v>6</v>
      </c>
      <c r="M207" s="7" t="s">
        <v>7</v>
      </c>
      <c r="N207" s="7" t="s">
        <v>8</v>
      </c>
      <c r="O207" s="7" t="s">
        <v>9</v>
      </c>
      <c r="P207" s="7" t="s">
        <v>10</v>
      </c>
      <c r="Q207" s="7" t="s">
        <v>11</v>
      </c>
      <c r="R207" s="8" t="s">
        <v>12</v>
      </c>
      <c r="S207" s="7" t="s">
        <v>13</v>
      </c>
      <c r="T207" s="8" t="s">
        <v>14</v>
      </c>
      <c r="U207" s="7" t="s">
        <v>15</v>
      </c>
      <c r="V207" s="8" t="s">
        <v>16</v>
      </c>
      <c r="W207" s="7" t="s">
        <v>17</v>
      </c>
      <c r="X207" s="8" t="s">
        <v>18</v>
      </c>
      <c r="Y207" s="7" t="s">
        <v>19</v>
      </c>
      <c r="Z207" s="7" t="s">
        <v>20</v>
      </c>
    </row>
    <row r="208" customFormat="false" ht="13.9" hidden="true" customHeight="true" outlineLevel="0" collapsed="false">
      <c r="A208" s="1" t="n">
        <v>4</v>
      </c>
      <c r="D208" s="21" t="s">
        <v>21</v>
      </c>
      <c r="E208" s="22" t="n">
        <v>111</v>
      </c>
      <c r="F208" s="22" t="s">
        <v>47</v>
      </c>
      <c r="G208" s="23" t="n">
        <f aca="false">G228</f>
        <v>3093.96</v>
      </c>
      <c r="H208" s="23" t="n">
        <f aca="false">H228</f>
        <v>0</v>
      </c>
      <c r="I208" s="23" t="n">
        <f aca="false">I228</f>
        <v>0</v>
      </c>
      <c r="J208" s="23" t="n">
        <f aca="false">J228</f>
        <v>0</v>
      </c>
      <c r="K208" s="23" t="n">
        <f aca="false">K228</f>
        <v>0</v>
      </c>
      <c r="L208" s="23" t="n">
        <f aca="false">L228</f>
        <v>0</v>
      </c>
      <c r="M208" s="23" t="n">
        <f aca="false">M228</f>
        <v>0</v>
      </c>
      <c r="N208" s="23" t="n">
        <f aca="false">N228</f>
        <v>0</v>
      </c>
      <c r="O208" s="23" t="n">
        <f aca="false">O228</f>
        <v>0</v>
      </c>
      <c r="P208" s="23" t="n">
        <f aca="false">P228</f>
        <v>0</v>
      </c>
      <c r="Q208" s="23" t="n">
        <f aca="false">Q228</f>
        <v>0</v>
      </c>
      <c r="R208" s="24" t="e">
        <f aca="false">Q208/$P208</f>
        <v>#DIV/0!</v>
      </c>
      <c r="S208" s="23" t="n">
        <f aca="false">S228</f>
        <v>0</v>
      </c>
      <c r="T208" s="24" t="e">
        <f aca="false">S208/$P208</f>
        <v>#DIV/0!</v>
      </c>
      <c r="U208" s="23" t="n">
        <f aca="false">U228</f>
        <v>0</v>
      </c>
      <c r="V208" s="24" t="e">
        <f aca="false">U208/$P208</f>
        <v>#DIV/0!</v>
      </c>
      <c r="W208" s="23" t="n">
        <f aca="false">W228</f>
        <v>0</v>
      </c>
      <c r="X208" s="24" t="e">
        <f aca="false">W208/$P208</f>
        <v>#DIV/0!</v>
      </c>
      <c r="Y208" s="23" t="n">
        <f aca="false">Y228</f>
        <v>0</v>
      </c>
      <c r="Z208" s="23" t="n">
        <f aca="false">Z228</f>
        <v>0</v>
      </c>
    </row>
    <row r="209" customFormat="false" ht="13.9" hidden="false" customHeight="true" outlineLevel="0" collapsed="false">
      <c r="A209" s="1" t="n">
        <v>4</v>
      </c>
      <c r="D209" s="21" t="s">
        <v>21</v>
      </c>
      <c r="E209" s="22" t="n">
        <v>41</v>
      </c>
      <c r="F209" s="22" t="s">
        <v>23</v>
      </c>
      <c r="G209" s="23" t="n">
        <f aca="false">G216+G222+G233</f>
        <v>87449.38</v>
      </c>
      <c r="H209" s="23" t="n">
        <f aca="false">H216+H222+H233</f>
        <v>104972.76</v>
      </c>
      <c r="I209" s="23" t="n">
        <f aca="false">I216+I222+I233</f>
        <v>140704</v>
      </c>
      <c r="J209" s="23" t="n">
        <f aca="false">J216+J222+J233</f>
        <v>133693.01</v>
      </c>
      <c r="K209" s="23" t="n">
        <f aca="false">K216+K222+K233</f>
        <v>73779</v>
      </c>
      <c r="L209" s="23" t="n">
        <f aca="false">L216+L222+L233</f>
        <v>0</v>
      </c>
      <c r="M209" s="23" t="n">
        <f aca="false">M216+M222+M233</f>
        <v>0</v>
      </c>
      <c r="N209" s="23" t="n">
        <f aca="false">N216+N222+N233</f>
        <v>2274</v>
      </c>
      <c r="O209" s="23" t="n">
        <f aca="false">O216+O222+O233</f>
        <v>2822</v>
      </c>
      <c r="P209" s="23" t="n">
        <f aca="false">P216+P222+P233</f>
        <v>78875</v>
      </c>
      <c r="Q209" s="23" t="n">
        <f aca="false">Q216+Q222+Q233</f>
        <v>14946.75</v>
      </c>
      <c r="R209" s="24" t="n">
        <f aca="false">Q209/$P209</f>
        <v>0.189499207606973</v>
      </c>
      <c r="S209" s="23" t="n">
        <f aca="false">S216+S222+S233</f>
        <v>28163.52</v>
      </c>
      <c r="T209" s="24" t="n">
        <f aca="false">S209/$P209</f>
        <v>0.357065229793978</v>
      </c>
      <c r="U209" s="23" t="n">
        <f aca="false">U216+U222+U233</f>
        <v>53130.44</v>
      </c>
      <c r="V209" s="24" t="n">
        <f aca="false">U209/$P209</f>
        <v>0.673603042789223</v>
      </c>
      <c r="W209" s="23" t="n">
        <f aca="false">W216+W222+W233</f>
        <v>78101.99</v>
      </c>
      <c r="X209" s="24" t="n">
        <f aca="false">W209/$P209</f>
        <v>0.990199556259905</v>
      </c>
      <c r="Y209" s="23" t="n">
        <f aca="false">Y216+Y222+Y233</f>
        <v>73191</v>
      </c>
      <c r="Z209" s="23" t="n">
        <f aca="false">Z216+Z222+Z233</f>
        <v>73361</v>
      </c>
    </row>
    <row r="210" customFormat="false" ht="13.9" hidden="false" customHeight="true" outlineLevel="0" collapsed="false">
      <c r="A210" s="1" t="n">
        <v>4</v>
      </c>
      <c r="D210" s="21"/>
      <c r="E210" s="22" t="n">
        <v>72</v>
      </c>
      <c r="F210" s="22" t="s">
        <v>25</v>
      </c>
      <c r="G210" s="23" t="n">
        <f aca="false">G235</f>
        <v>159.47</v>
      </c>
      <c r="H210" s="23" t="n">
        <f aca="false">H235</f>
        <v>247.65</v>
      </c>
      <c r="I210" s="23" t="n">
        <f aca="false">I235</f>
        <v>248</v>
      </c>
      <c r="J210" s="23" t="n">
        <f aca="false">J235</f>
        <v>246.13</v>
      </c>
      <c r="K210" s="23" t="n">
        <f aca="false">K235</f>
        <v>62</v>
      </c>
      <c r="L210" s="23" t="n">
        <f aca="false">L235</f>
        <v>0</v>
      </c>
      <c r="M210" s="23" t="n">
        <f aca="false">M235</f>
        <v>0</v>
      </c>
      <c r="N210" s="23" t="n">
        <f aca="false">N235</f>
        <v>0</v>
      </c>
      <c r="O210" s="23" t="n">
        <f aca="false">O235</f>
        <v>-28</v>
      </c>
      <c r="P210" s="23" t="n">
        <f aca="false">P235</f>
        <v>34</v>
      </c>
      <c r="Q210" s="23" t="n">
        <f aca="false">Q235</f>
        <v>0</v>
      </c>
      <c r="R210" s="24" t="n">
        <f aca="false">Q210/$P210</f>
        <v>0</v>
      </c>
      <c r="S210" s="23" t="n">
        <f aca="false">S235</f>
        <v>0</v>
      </c>
      <c r="T210" s="24" t="n">
        <f aca="false">S210/$P210</f>
        <v>0</v>
      </c>
      <c r="U210" s="23" t="n">
        <f aca="false">U235</f>
        <v>0</v>
      </c>
      <c r="V210" s="24" t="n">
        <f aca="false">U210/$P210</f>
        <v>0</v>
      </c>
      <c r="W210" s="23" t="n">
        <f aca="false">W235</f>
        <v>33.69</v>
      </c>
      <c r="X210" s="24" t="n">
        <f aca="false">W210/$P210</f>
        <v>0.990882352941176</v>
      </c>
      <c r="Y210" s="23" t="n">
        <f aca="false">Y235</f>
        <v>62</v>
      </c>
      <c r="Z210" s="23" t="n">
        <f aca="false">Z235</f>
        <v>62</v>
      </c>
    </row>
    <row r="211" customFormat="false" ht="13.9" hidden="false" customHeight="true" outlineLevel="0" collapsed="false">
      <c r="A211" s="1" t="n">
        <v>4</v>
      </c>
      <c r="D211" s="17"/>
      <c r="E211" s="18"/>
      <c r="F211" s="25" t="s">
        <v>122</v>
      </c>
      <c r="G211" s="26" t="n">
        <f aca="false">SUM(G208:G210)</f>
        <v>90702.81</v>
      </c>
      <c r="H211" s="26" t="n">
        <f aca="false">SUM(H208:H210)</f>
        <v>105220.41</v>
      </c>
      <c r="I211" s="26" t="n">
        <f aca="false">SUM(I208:I210)</f>
        <v>140952</v>
      </c>
      <c r="J211" s="26" t="n">
        <f aca="false">SUM(J208:J210)</f>
        <v>133939.14</v>
      </c>
      <c r="K211" s="26" t="n">
        <f aca="false">SUM(K208:K210)</f>
        <v>73841</v>
      </c>
      <c r="L211" s="26" t="n">
        <f aca="false">SUM(L208:L210)</f>
        <v>0</v>
      </c>
      <c r="M211" s="26" t="n">
        <f aca="false">SUM(M208:M210)</f>
        <v>0</v>
      </c>
      <c r="N211" s="26" t="n">
        <f aca="false">SUM(N208:N210)</f>
        <v>2274</v>
      </c>
      <c r="O211" s="26" t="n">
        <f aca="false">SUM(O208:O210)</f>
        <v>2794</v>
      </c>
      <c r="P211" s="26" t="n">
        <f aca="false">SUM(P208:P210)</f>
        <v>78909</v>
      </c>
      <c r="Q211" s="26" t="n">
        <f aca="false">SUM(Q208:Q210)</f>
        <v>14946.75</v>
      </c>
      <c r="R211" s="27" t="n">
        <f aca="false">Q211/$P211</f>
        <v>0.189417556932669</v>
      </c>
      <c r="S211" s="26" t="n">
        <f aca="false">SUM(S208:S210)</f>
        <v>28163.52</v>
      </c>
      <c r="T211" s="27" t="n">
        <f aca="false">S211/$P211</f>
        <v>0.35691137893016</v>
      </c>
      <c r="U211" s="26" t="n">
        <f aca="false">SUM(U208:U210)</f>
        <v>53130.44</v>
      </c>
      <c r="V211" s="27" t="n">
        <f aca="false">U211/$P211</f>
        <v>0.673312803355764</v>
      </c>
      <c r="W211" s="26" t="n">
        <f aca="false">SUM(W208:W210)</f>
        <v>78135.68</v>
      </c>
      <c r="X211" s="27" t="n">
        <f aca="false">W211/$P211</f>
        <v>0.990199850460657</v>
      </c>
      <c r="Y211" s="26" t="n">
        <f aca="false">SUM(Y208:Y210)</f>
        <v>73253</v>
      </c>
      <c r="Z211" s="26" t="n">
        <f aca="false">SUM(Z208:Z210)</f>
        <v>73423</v>
      </c>
    </row>
    <row r="213" customFormat="false" ht="13.9" hidden="false" customHeight="true" outlineLevel="0" collapsed="false">
      <c r="D213" s="60" t="s">
        <v>192</v>
      </c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1"/>
      <c r="S213" s="60"/>
      <c r="T213" s="61"/>
      <c r="U213" s="60"/>
      <c r="V213" s="61"/>
      <c r="W213" s="60"/>
      <c r="X213" s="61"/>
      <c r="Y213" s="60"/>
      <c r="Z213" s="60"/>
    </row>
    <row r="214" customFormat="false" ht="13.9" hidden="false" customHeight="true" outlineLevel="0" collapsed="false">
      <c r="D214" s="7" t="s">
        <v>33</v>
      </c>
      <c r="E214" s="7" t="s">
        <v>34</v>
      </c>
      <c r="F214" s="7" t="s">
        <v>35</v>
      </c>
      <c r="G214" s="7" t="s">
        <v>1</v>
      </c>
      <c r="H214" s="7" t="s">
        <v>2</v>
      </c>
      <c r="I214" s="7" t="s">
        <v>3</v>
      </c>
      <c r="J214" s="7" t="s">
        <v>4</v>
      </c>
      <c r="K214" s="7" t="s">
        <v>5</v>
      </c>
      <c r="L214" s="7" t="s">
        <v>6</v>
      </c>
      <c r="M214" s="7" t="s">
        <v>7</v>
      </c>
      <c r="N214" s="7" t="s">
        <v>8</v>
      </c>
      <c r="O214" s="7" t="s">
        <v>9</v>
      </c>
      <c r="P214" s="7" t="s">
        <v>10</v>
      </c>
      <c r="Q214" s="7" t="s">
        <v>11</v>
      </c>
      <c r="R214" s="8" t="s">
        <v>12</v>
      </c>
      <c r="S214" s="7" t="s">
        <v>13</v>
      </c>
      <c r="T214" s="8" t="s">
        <v>14</v>
      </c>
      <c r="U214" s="7" t="s">
        <v>15</v>
      </c>
      <c r="V214" s="8" t="s">
        <v>16</v>
      </c>
      <c r="W214" s="7" t="s">
        <v>17</v>
      </c>
      <c r="X214" s="8" t="s">
        <v>18</v>
      </c>
      <c r="Y214" s="7" t="s">
        <v>19</v>
      </c>
      <c r="Z214" s="7" t="s">
        <v>20</v>
      </c>
    </row>
    <row r="215" customFormat="false" ht="13.9" hidden="false" customHeight="true" outlineLevel="0" collapsed="false">
      <c r="A215" s="1" t="n">
        <v>4</v>
      </c>
      <c r="B215" s="1" t="n">
        <v>1</v>
      </c>
      <c r="D215" s="74" t="s">
        <v>193</v>
      </c>
      <c r="E215" s="10" t="n">
        <v>630</v>
      </c>
      <c r="F215" s="10" t="s">
        <v>129</v>
      </c>
      <c r="G215" s="11" t="n">
        <v>50247</v>
      </c>
      <c r="H215" s="33" t="n">
        <v>57460.65</v>
      </c>
      <c r="I215" s="33" t="n">
        <v>57669</v>
      </c>
      <c r="J215" s="33" t="n">
        <v>58470.37</v>
      </c>
      <c r="K215" s="33" t="n">
        <v>58470</v>
      </c>
      <c r="L215" s="33"/>
      <c r="M215" s="33"/>
      <c r="N215" s="33"/>
      <c r="O215" s="33" t="n">
        <v>-1188</v>
      </c>
      <c r="P215" s="33" t="n">
        <f aca="false">K215+SUM(L215:O215)</f>
        <v>57282</v>
      </c>
      <c r="Q215" s="33" t="n">
        <v>11145.41</v>
      </c>
      <c r="R215" s="34" t="n">
        <f aca="false">Q215/$P215</f>
        <v>0.194570894870989</v>
      </c>
      <c r="S215" s="33" t="n">
        <v>22502.91</v>
      </c>
      <c r="T215" s="34" t="n">
        <f aca="false">S215/$P215</f>
        <v>0.39284434901016</v>
      </c>
      <c r="U215" s="33" t="n">
        <v>40509.99</v>
      </c>
      <c r="V215" s="34" t="n">
        <f aca="false">U215/$P215</f>
        <v>0.707202786215565</v>
      </c>
      <c r="W215" s="33" t="n">
        <v>56647.22</v>
      </c>
      <c r="X215" s="34" t="n">
        <f aca="false">W215/$P215</f>
        <v>0.988918333857058</v>
      </c>
      <c r="Y215" s="11" t="n">
        <f aca="false">K215</f>
        <v>58470</v>
      </c>
      <c r="Z215" s="11" t="n">
        <f aca="false">Y215</f>
        <v>58470</v>
      </c>
    </row>
    <row r="216" customFormat="false" ht="13.9" hidden="false" customHeight="true" outlineLevel="0" collapsed="false">
      <c r="A216" s="1" t="n">
        <v>4</v>
      </c>
      <c r="B216" s="1" t="n">
        <v>1</v>
      </c>
      <c r="D216" s="67" t="s">
        <v>21</v>
      </c>
      <c r="E216" s="13" t="n">
        <v>41</v>
      </c>
      <c r="F216" s="13" t="s">
        <v>23</v>
      </c>
      <c r="G216" s="14" t="n">
        <f aca="false">SUM(G215:G215)</f>
        <v>50247</v>
      </c>
      <c r="H216" s="14" t="n">
        <f aca="false">SUM(H215:H215)</f>
        <v>57460.65</v>
      </c>
      <c r="I216" s="14" t="n">
        <f aca="false">SUM(I215:I215)</f>
        <v>57669</v>
      </c>
      <c r="J216" s="14" t="n">
        <f aca="false">SUM(J215:J215)</f>
        <v>58470.37</v>
      </c>
      <c r="K216" s="14" t="n">
        <f aca="false">SUM(K215:K215)</f>
        <v>58470</v>
      </c>
      <c r="L216" s="14" t="n">
        <f aca="false">SUM(L215:L215)</f>
        <v>0</v>
      </c>
      <c r="M216" s="14" t="n">
        <f aca="false">SUM(M215:M215)</f>
        <v>0</v>
      </c>
      <c r="N216" s="14" t="n">
        <f aca="false">SUM(N215:N215)</f>
        <v>0</v>
      </c>
      <c r="O216" s="14" t="n">
        <f aca="false">SUM(O215:O215)</f>
        <v>-1188</v>
      </c>
      <c r="P216" s="14" t="n">
        <f aca="false">SUM(P215:P215)</f>
        <v>57282</v>
      </c>
      <c r="Q216" s="14" t="n">
        <f aca="false">SUM(Q215:Q215)</f>
        <v>11145.41</v>
      </c>
      <c r="R216" s="15" t="n">
        <f aca="false">Q216/$P216</f>
        <v>0.194570894870989</v>
      </c>
      <c r="S216" s="14" t="n">
        <f aca="false">SUM(S215:S215)</f>
        <v>22502.91</v>
      </c>
      <c r="T216" s="15" t="n">
        <f aca="false">S216/$P216</f>
        <v>0.39284434901016</v>
      </c>
      <c r="U216" s="14" t="n">
        <f aca="false">SUM(U215:U215)</f>
        <v>40509.99</v>
      </c>
      <c r="V216" s="15" t="n">
        <f aca="false">U216/$P216</f>
        <v>0.707202786215565</v>
      </c>
      <c r="W216" s="14" t="n">
        <f aca="false">SUM(W215:W215)</f>
        <v>56647.22</v>
      </c>
      <c r="X216" s="15" t="n">
        <f aca="false">W216/$P216</f>
        <v>0.988918333857058</v>
      </c>
      <c r="Y216" s="14" t="n">
        <f aca="false">SUM(Y215:Y215)</f>
        <v>58470</v>
      </c>
      <c r="Z216" s="14" t="n">
        <f aca="false">SUM(Z215:Z215)</f>
        <v>58470</v>
      </c>
    </row>
    <row r="218" customFormat="false" ht="13.9" hidden="false" customHeight="true" outlineLevel="0" collapsed="false">
      <c r="D218" s="60" t="s">
        <v>194</v>
      </c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1"/>
      <c r="S218" s="60"/>
      <c r="T218" s="61"/>
      <c r="U218" s="60"/>
      <c r="V218" s="61"/>
      <c r="W218" s="60"/>
      <c r="X218" s="61"/>
      <c r="Y218" s="60"/>
      <c r="Z218" s="60"/>
    </row>
    <row r="219" customFormat="false" ht="13.9" hidden="false" customHeight="true" outlineLevel="0" collapsed="false">
      <c r="D219" s="7" t="s">
        <v>33</v>
      </c>
      <c r="E219" s="7" t="s">
        <v>34</v>
      </c>
      <c r="F219" s="7" t="s">
        <v>35</v>
      </c>
      <c r="G219" s="7" t="s">
        <v>1</v>
      </c>
      <c r="H219" s="7" t="s">
        <v>2</v>
      </c>
      <c r="I219" s="7" t="s">
        <v>3</v>
      </c>
      <c r="J219" s="7" t="s">
        <v>4</v>
      </c>
      <c r="K219" s="7" t="s">
        <v>5</v>
      </c>
      <c r="L219" s="7" t="s">
        <v>6</v>
      </c>
      <c r="M219" s="7" t="s">
        <v>7</v>
      </c>
      <c r="N219" s="7" t="s">
        <v>8</v>
      </c>
      <c r="O219" s="7" t="s">
        <v>9</v>
      </c>
      <c r="P219" s="7" t="s">
        <v>10</v>
      </c>
      <c r="Q219" s="7" t="s">
        <v>11</v>
      </c>
      <c r="R219" s="8" t="s">
        <v>12</v>
      </c>
      <c r="S219" s="7" t="s">
        <v>13</v>
      </c>
      <c r="T219" s="8" t="s">
        <v>14</v>
      </c>
      <c r="U219" s="7" t="s">
        <v>15</v>
      </c>
      <c r="V219" s="8" t="s">
        <v>16</v>
      </c>
      <c r="W219" s="7" t="s">
        <v>17</v>
      </c>
      <c r="X219" s="8" t="s">
        <v>18</v>
      </c>
      <c r="Y219" s="7" t="s">
        <v>19</v>
      </c>
      <c r="Z219" s="7" t="s">
        <v>20</v>
      </c>
    </row>
    <row r="220" customFormat="false" ht="13.9" hidden="true" customHeight="true" outlineLevel="0" collapsed="false">
      <c r="A220" s="1" t="n">
        <v>4</v>
      </c>
      <c r="B220" s="1" t="n">
        <v>2</v>
      </c>
      <c r="D220" s="74" t="s">
        <v>193</v>
      </c>
      <c r="E220" s="10" t="n">
        <v>620</v>
      </c>
      <c r="F220" s="10" t="s">
        <v>128</v>
      </c>
      <c r="G220" s="11" t="n">
        <v>1142.07</v>
      </c>
      <c r="H220" s="11" t="n">
        <v>0</v>
      </c>
      <c r="I220" s="11" t="n">
        <v>0</v>
      </c>
      <c r="J220" s="11" t="n">
        <v>0</v>
      </c>
      <c r="K220" s="11" t="n">
        <v>0</v>
      </c>
      <c r="L220" s="11"/>
      <c r="M220" s="11"/>
      <c r="N220" s="11"/>
      <c r="O220" s="11"/>
      <c r="P220" s="11" t="n">
        <f aca="false">K220+SUM(L220:O220)</f>
        <v>0</v>
      </c>
      <c r="Q220" s="11" t="n">
        <v>0</v>
      </c>
      <c r="R220" s="37" t="e">
        <f aca="false">Q220/$P220</f>
        <v>#DIV/0!</v>
      </c>
      <c r="S220" s="11" t="n">
        <v>0</v>
      </c>
      <c r="T220" s="37" t="e">
        <f aca="false">S220/$P220</f>
        <v>#DIV/0!</v>
      </c>
      <c r="U220" s="11" t="n">
        <v>0</v>
      </c>
      <c r="V220" s="37" t="e">
        <f aca="false">U220/$P220</f>
        <v>#DIV/0!</v>
      </c>
      <c r="W220" s="11" t="n">
        <v>0</v>
      </c>
      <c r="X220" s="37" t="e">
        <f aca="false">W220/$P220</f>
        <v>#DIV/0!</v>
      </c>
      <c r="Y220" s="11" t="n">
        <v>0</v>
      </c>
      <c r="Z220" s="11" t="n">
        <v>0</v>
      </c>
    </row>
    <row r="221" customFormat="false" ht="13.9" hidden="false" customHeight="true" outlineLevel="0" collapsed="false">
      <c r="A221" s="1" t="n">
        <v>4</v>
      </c>
      <c r="B221" s="1" t="n">
        <v>2</v>
      </c>
      <c r="D221" s="74" t="s">
        <v>193</v>
      </c>
      <c r="E221" s="10" t="n">
        <v>630</v>
      </c>
      <c r="F221" s="10" t="s">
        <v>129</v>
      </c>
      <c r="G221" s="11" t="n">
        <v>4302.96</v>
      </c>
      <c r="H221" s="11" t="n">
        <v>515.01</v>
      </c>
      <c r="I221" s="11" t="n">
        <v>515</v>
      </c>
      <c r="J221" s="11" t="n">
        <v>543.29</v>
      </c>
      <c r="K221" s="11" t="n">
        <v>378</v>
      </c>
      <c r="L221" s="11"/>
      <c r="M221" s="11"/>
      <c r="N221" s="11"/>
      <c r="O221" s="11"/>
      <c r="P221" s="11" t="n">
        <f aca="false">K221+SUM(L221:O221)</f>
        <v>378</v>
      </c>
      <c r="Q221" s="11" t="n">
        <v>0</v>
      </c>
      <c r="R221" s="12" t="n">
        <f aca="false">Q221/$P221</f>
        <v>0</v>
      </c>
      <c r="S221" s="11" t="n">
        <v>0</v>
      </c>
      <c r="T221" s="12" t="n">
        <f aca="false">S221/$P221</f>
        <v>0</v>
      </c>
      <c r="U221" s="11" t="n">
        <v>0</v>
      </c>
      <c r="V221" s="12" t="n">
        <f aca="false">U221/$P221</f>
        <v>0</v>
      </c>
      <c r="W221" s="11" t="n">
        <v>328.28</v>
      </c>
      <c r="X221" s="12" t="n">
        <f aca="false">W221/$P221</f>
        <v>0.868465608465608</v>
      </c>
      <c r="Y221" s="11" t="n">
        <f aca="false">K221</f>
        <v>378</v>
      </c>
      <c r="Z221" s="11" t="n">
        <f aca="false">Y221</f>
        <v>378</v>
      </c>
    </row>
    <row r="222" customFormat="false" ht="13.9" hidden="false" customHeight="true" outlineLevel="0" collapsed="false">
      <c r="A222" s="1" t="n">
        <v>4</v>
      </c>
      <c r="B222" s="1" t="n">
        <v>2</v>
      </c>
      <c r="D222" s="75" t="s">
        <v>21</v>
      </c>
      <c r="E222" s="35" t="n">
        <v>41</v>
      </c>
      <c r="F222" s="35" t="s">
        <v>23</v>
      </c>
      <c r="G222" s="36" t="n">
        <f aca="false">SUM(G220:G221)</f>
        <v>5445.03</v>
      </c>
      <c r="H222" s="36" t="n">
        <f aca="false">SUM(H220:H221)</f>
        <v>515.01</v>
      </c>
      <c r="I222" s="36" t="n">
        <f aca="false">SUM(I220:I221)</f>
        <v>515</v>
      </c>
      <c r="J222" s="36" t="n">
        <f aca="false">SUM(J220:J221)</f>
        <v>543.29</v>
      </c>
      <c r="K222" s="36" t="n">
        <f aca="false">SUM(K220:K221)</f>
        <v>378</v>
      </c>
      <c r="L222" s="36" t="n">
        <f aca="false">SUM(L220:L221)</f>
        <v>0</v>
      </c>
      <c r="M222" s="36" t="n">
        <f aca="false">SUM(M220:M221)</f>
        <v>0</v>
      </c>
      <c r="N222" s="36" t="n">
        <f aca="false">SUM(N220:N221)</f>
        <v>0</v>
      </c>
      <c r="O222" s="36" t="n">
        <f aca="false">SUM(O220:O221)</f>
        <v>0</v>
      </c>
      <c r="P222" s="36" t="n">
        <f aca="false">SUM(P220:P221)</f>
        <v>378</v>
      </c>
      <c r="Q222" s="36" t="n">
        <f aca="false">SUM(Q220:Q221)</f>
        <v>0</v>
      </c>
      <c r="R222" s="37" t="n">
        <f aca="false">Q222/$P222</f>
        <v>0</v>
      </c>
      <c r="S222" s="36" t="n">
        <f aca="false">SUM(S220:S221)</f>
        <v>0</v>
      </c>
      <c r="T222" s="37" t="n">
        <f aca="false">S222/$P222</f>
        <v>0</v>
      </c>
      <c r="U222" s="36" t="n">
        <f aca="false">SUM(U220:U221)</f>
        <v>0</v>
      </c>
      <c r="V222" s="37" t="n">
        <f aca="false">U222/$P222</f>
        <v>0</v>
      </c>
      <c r="W222" s="36" t="n">
        <f aca="false">SUM(W220:W221)</f>
        <v>328.28</v>
      </c>
      <c r="X222" s="37" t="n">
        <f aca="false">W222/$P222</f>
        <v>0.868465608465608</v>
      </c>
      <c r="Y222" s="36" t="n">
        <f aca="false">SUM(Y220:Y221)</f>
        <v>378</v>
      </c>
      <c r="Z222" s="36" t="n">
        <f aca="false">SUM(Z220:Z221)</f>
        <v>378</v>
      </c>
    </row>
    <row r="223" customFormat="false" ht="13.9" hidden="false" customHeight="true" outlineLevel="0" collapsed="false">
      <c r="A223" s="1" t="n">
        <v>4</v>
      </c>
      <c r="B223" s="1" t="n">
        <v>2</v>
      </c>
      <c r="D223" s="77"/>
      <c r="E223" s="78"/>
      <c r="F223" s="13" t="s">
        <v>122</v>
      </c>
      <c r="G223" s="14" t="n">
        <f aca="false">G222</f>
        <v>5445.03</v>
      </c>
      <c r="H223" s="14" t="n">
        <f aca="false">H222</f>
        <v>515.01</v>
      </c>
      <c r="I223" s="14" t="n">
        <f aca="false">I222</f>
        <v>515</v>
      </c>
      <c r="J223" s="14" t="n">
        <f aca="false">J222</f>
        <v>543.29</v>
      </c>
      <c r="K223" s="14" t="n">
        <f aca="false">K222</f>
        <v>378</v>
      </c>
      <c r="L223" s="14" t="n">
        <f aca="false">L222</f>
        <v>0</v>
      </c>
      <c r="M223" s="14" t="n">
        <f aca="false">M222</f>
        <v>0</v>
      </c>
      <c r="N223" s="14" t="n">
        <f aca="false">N222</f>
        <v>0</v>
      </c>
      <c r="O223" s="14" t="n">
        <f aca="false">O222</f>
        <v>0</v>
      </c>
      <c r="P223" s="14" t="n">
        <f aca="false">P222</f>
        <v>378</v>
      </c>
      <c r="Q223" s="14" t="n">
        <f aca="false">Q222</f>
        <v>0</v>
      </c>
      <c r="R223" s="15" t="n">
        <f aca="false">Q223/$P223</f>
        <v>0</v>
      </c>
      <c r="S223" s="14" t="n">
        <f aca="false">S222</f>
        <v>0</v>
      </c>
      <c r="T223" s="15" t="n">
        <f aca="false">S223/$P223</f>
        <v>0</v>
      </c>
      <c r="U223" s="14" t="n">
        <f aca="false">U222</f>
        <v>0</v>
      </c>
      <c r="V223" s="15" t="n">
        <f aca="false">U223/$P223</f>
        <v>0</v>
      </c>
      <c r="W223" s="14" t="n">
        <f aca="false">W222</f>
        <v>328.28</v>
      </c>
      <c r="X223" s="15" t="n">
        <f aca="false">W223/$P223</f>
        <v>0.868465608465608</v>
      </c>
      <c r="Y223" s="14" t="n">
        <f aca="false">Y222</f>
        <v>378</v>
      </c>
      <c r="Z223" s="14" t="n">
        <f aca="false">Z222</f>
        <v>378</v>
      </c>
    </row>
    <row r="225" customFormat="false" ht="13.9" hidden="false" customHeight="true" outlineLevel="0" collapsed="false">
      <c r="D225" s="60" t="s">
        <v>195</v>
      </c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1"/>
      <c r="S225" s="60"/>
      <c r="T225" s="61"/>
      <c r="U225" s="60"/>
      <c r="V225" s="61"/>
      <c r="W225" s="60"/>
      <c r="X225" s="61"/>
      <c r="Y225" s="60"/>
      <c r="Z225" s="60"/>
    </row>
    <row r="226" customFormat="false" ht="13.9" hidden="false" customHeight="true" outlineLevel="0" collapsed="false">
      <c r="D226" s="7" t="s">
        <v>33</v>
      </c>
      <c r="E226" s="7" t="s">
        <v>34</v>
      </c>
      <c r="F226" s="7" t="s">
        <v>35</v>
      </c>
      <c r="G226" s="7" t="s">
        <v>1</v>
      </c>
      <c r="H226" s="7" t="s">
        <v>2</v>
      </c>
      <c r="I226" s="7" t="s">
        <v>3</v>
      </c>
      <c r="J226" s="7" t="s">
        <v>4</v>
      </c>
      <c r="K226" s="7" t="s">
        <v>5</v>
      </c>
      <c r="L226" s="7" t="s">
        <v>6</v>
      </c>
      <c r="M226" s="7" t="s">
        <v>7</v>
      </c>
      <c r="N226" s="7" t="s">
        <v>8</v>
      </c>
      <c r="O226" s="7" t="s">
        <v>9</v>
      </c>
      <c r="P226" s="7" t="s">
        <v>10</v>
      </c>
      <c r="Q226" s="7" t="s">
        <v>11</v>
      </c>
      <c r="R226" s="8" t="s">
        <v>12</v>
      </c>
      <c r="S226" s="7" t="s">
        <v>13</v>
      </c>
      <c r="T226" s="8" t="s">
        <v>14</v>
      </c>
      <c r="U226" s="7" t="s">
        <v>15</v>
      </c>
      <c r="V226" s="8" t="s">
        <v>16</v>
      </c>
      <c r="W226" s="7" t="s">
        <v>17</v>
      </c>
      <c r="X226" s="8" t="s">
        <v>18</v>
      </c>
      <c r="Y226" s="7" t="s">
        <v>19</v>
      </c>
      <c r="Z226" s="7" t="s">
        <v>20</v>
      </c>
    </row>
    <row r="227" customFormat="false" ht="13.9" hidden="true" customHeight="true" outlineLevel="0" collapsed="false">
      <c r="A227" s="1" t="n">
        <v>4</v>
      </c>
      <c r="B227" s="1" t="n">
        <v>3</v>
      </c>
      <c r="D227" s="74" t="s">
        <v>193</v>
      </c>
      <c r="E227" s="10" t="n">
        <v>630</v>
      </c>
      <c r="F227" s="10" t="s">
        <v>129</v>
      </c>
      <c r="G227" s="11" t="n">
        <v>3093.96</v>
      </c>
      <c r="H227" s="11" t="n">
        <v>0</v>
      </c>
      <c r="I227" s="11" t="n">
        <v>0</v>
      </c>
      <c r="J227" s="11" t="n">
        <v>0</v>
      </c>
      <c r="K227" s="11" t="n">
        <v>0</v>
      </c>
      <c r="L227" s="11" t="n">
        <v>0</v>
      </c>
      <c r="M227" s="11" t="n">
        <v>0</v>
      </c>
      <c r="N227" s="11" t="n">
        <v>0</v>
      </c>
      <c r="O227" s="11" t="n">
        <v>0</v>
      </c>
      <c r="P227" s="11" t="n">
        <f aca="false">K227+SUM(L227:O227)</f>
        <v>0</v>
      </c>
      <c r="Q227" s="11" t="n">
        <v>0</v>
      </c>
      <c r="R227" s="12" t="e">
        <f aca="false">Q227/$P227</f>
        <v>#DIV/0!</v>
      </c>
      <c r="S227" s="11" t="n">
        <v>0</v>
      </c>
      <c r="T227" s="12" t="e">
        <f aca="false">S227/$P227</f>
        <v>#DIV/0!</v>
      </c>
      <c r="U227" s="11" t="n">
        <v>0</v>
      </c>
      <c r="V227" s="12" t="e">
        <f aca="false">U227/$P227</f>
        <v>#DIV/0!</v>
      </c>
      <c r="W227" s="11" t="n">
        <v>0</v>
      </c>
      <c r="X227" s="12" t="e">
        <f aca="false">W227/$P227</f>
        <v>#DIV/0!</v>
      </c>
      <c r="Y227" s="11" t="n">
        <v>0</v>
      </c>
      <c r="Z227" s="11" t="n">
        <f aca="false">Y227</f>
        <v>0</v>
      </c>
    </row>
    <row r="228" customFormat="false" ht="13.9" hidden="true" customHeight="true" outlineLevel="0" collapsed="false">
      <c r="A228" s="1" t="n">
        <v>4</v>
      </c>
      <c r="B228" s="1" t="n">
        <v>3</v>
      </c>
      <c r="D228" s="75" t="s">
        <v>21</v>
      </c>
      <c r="E228" s="35" t="n">
        <v>111</v>
      </c>
      <c r="F228" s="35" t="s">
        <v>132</v>
      </c>
      <c r="G228" s="36" t="n">
        <f aca="false">SUM(G227:G227)</f>
        <v>3093.96</v>
      </c>
      <c r="H228" s="36" t="n">
        <f aca="false">SUM(H227:H227)</f>
        <v>0</v>
      </c>
      <c r="I228" s="36" t="n">
        <f aca="false">SUM(I227:I227)</f>
        <v>0</v>
      </c>
      <c r="J228" s="36" t="n">
        <f aca="false">SUM(J227:J227)</f>
        <v>0</v>
      </c>
      <c r="K228" s="36" t="n">
        <f aca="false">SUM(K227:K227)</f>
        <v>0</v>
      </c>
      <c r="L228" s="36" t="n">
        <f aca="false">SUM(L227:L227)</f>
        <v>0</v>
      </c>
      <c r="M228" s="36" t="n">
        <f aca="false">SUM(M227:M227)</f>
        <v>0</v>
      </c>
      <c r="N228" s="36" t="n">
        <f aca="false">SUM(N227:N227)</f>
        <v>0</v>
      </c>
      <c r="O228" s="36" t="n">
        <f aca="false">SUM(O227:O227)</f>
        <v>0</v>
      </c>
      <c r="P228" s="36" t="n">
        <f aca="false">SUM(P227:P227)</f>
        <v>0</v>
      </c>
      <c r="Q228" s="36" t="n">
        <f aca="false">SUM(Q227:Q227)</f>
        <v>0</v>
      </c>
      <c r="R228" s="37" t="e">
        <f aca="false">Q228/$P228</f>
        <v>#DIV/0!</v>
      </c>
      <c r="S228" s="36" t="n">
        <f aca="false">SUM(S227:S227)</f>
        <v>0</v>
      </c>
      <c r="T228" s="37" t="e">
        <f aca="false">S228/$P228</f>
        <v>#DIV/0!</v>
      </c>
      <c r="U228" s="36" t="n">
        <f aca="false">SUM(U227:U227)</f>
        <v>0</v>
      </c>
      <c r="V228" s="37" t="e">
        <f aca="false">U228/$P228</f>
        <v>#DIV/0!</v>
      </c>
      <c r="W228" s="36" t="n">
        <f aca="false">SUM(W227:W227)</f>
        <v>0</v>
      </c>
      <c r="X228" s="37" t="e">
        <f aca="false">W228/$P228</f>
        <v>#DIV/0!</v>
      </c>
      <c r="Y228" s="36" t="n">
        <f aca="false">SUM(Y227:Y227)</f>
        <v>0</v>
      </c>
      <c r="Z228" s="36" t="n">
        <f aca="false">SUM(Z227:Z227)</f>
        <v>0</v>
      </c>
    </row>
    <row r="229" customFormat="false" ht="13.9" hidden="false" customHeight="true" outlineLevel="0" collapsed="false">
      <c r="A229" s="1" t="n">
        <v>4</v>
      </c>
      <c r="B229" s="1" t="n">
        <v>3</v>
      </c>
      <c r="D229" s="38" t="s">
        <v>193</v>
      </c>
      <c r="E229" s="10" t="n">
        <v>610</v>
      </c>
      <c r="F229" s="10" t="s">
        <v>127</v>
      </c>
      <c r="G229" s="11" t="n">
        <v>11928.29</v>
      </c>
      <c r="H229" s="11" t="n">
        <v>19051.72</v>
      </c>
      <c r="I229" s="11" t="n">
        <f aca="false">21051-104</f>
        <v>20947</v>
      </c>
      <c r="J229" s="11" t="n">
        <v>17508.82</v>
      </c>
      <c r="K229" s="11" t="n">
        <v>5095</v>
      </c>
      <c r="L229" s="11"/>
      <c r="M229" s="11"/>
      <c r="N229" s="11" t="n">
        <v>250</v>
      </c>
      <c r="O229" s="11" t="n">
        <v>121</v>
      </c>
      <c r="P229" s="11" t="n">
        <f aca="false">K229+SUM(L229:O229)</f>
        <v>5466</v>
      </c>
      <c r="Q229" s="11" t="n">
        <v>1631.09</v>
      </c>
      <c r="R229" s="12" t="n">
        <f aca="false">Q229/$P229</f>
        <v>0.298406512989389</v>
      </c>
      <c r="S229" s="11" t="n">
        <v>2644.34</v>
      </c>
      <c r="T229" s="12" t="n">
        <f aca="false">S229/$P229</f>
        <v>0.483779729235273</v>
      </c>
      <c r="U229" s="11" t="n">
        <v>3678.09</v>
      </c>
      <c r="V229" s="12" t="n">
        <f aca="false">U229/$P229</f>
        <v>0.672903402854007</v>
      </c>
      <c r="W229" s="11" t="n">
        <v>5465.98</v>
      </c>
      <c r="X229" s="12" t="n">
        <f aca="false">W229/$P229</f>
        <v>0.999996341017197</v>
      </c>
      <c r="Y229" s="11" t="n">
        <v>4668</v>
      </c>
      <c r="Z229" s="11" t="n">
        <v>4797</v>
      </c>
    </row>
    <row r="230" customFormat="false" ht="13.9" hidden="false" customHeight="true" outlineLevel="0" collapsed="false">
      <c r="A230" s="1" t="n">
        <v>4</v>
      </c>
      <c r="B230" s="1" t="n">
        <v>3</v>
      </c>
      <c r="D230" s="38"/>
      <c r="E230" s="10" t="n">
        <v>620</v>
      </c>
      <c r="F230" s="10" t="s">
        <v>128</v>
      </c>
      <c r="G230" s="11" t="n">
        <v>4168.77</v>
      </c>
      <c r="H230" s="11" t="n">
        <v>6428.72</v>
      </c>
      <c r="I230" s="11" t="n">
        <v>7358</v>
      </c>
      <c r="J230" s="11" t="n">
        <v>6125.34</v>
      </c>
      <c r="K230" s="11" t="n">
        <v>1602</v>
      </c>
      <c r="L230" s="11"/>
      <c r="M230" s="11"/>
      <c r="N230" s="11" t="n">
        <v>61</v>
      </c>
      <c r="O230" s="11" t="n">
        <v>-159</v>
      </c>
      <c r="P230" s="11" t="n">
        <f aca="false">K230+SUM(L230:O230)</f>
        <v>1504</v>
      </c>
      <c r="Q230" s="11" t="n">
        <v>489.91</v>
      </c>
      <c r="R230" s="12" t="n">
        <f aca="false">Q230/$P230</f>
        <v>0.325738031914894</v>
      </c>
      <c r="S230" s="11" t="n">
        <v>757.81</v>
      </c>
      <c r="T230" s="12" t="n">
        <f aca="false">S230/$P230</f>
        <v>0.503863031914894</v>
      </c>
      <c r="U230" s="11" t="n">
        <v>1031.19</v>
      </c>
      <c r="V230" s="12" t="n">
        <f aca="false">U230/$P230</f>
        <v>0.68563164893617</v>
      </c>
      <c r="W230" s="11" t="n">
        <v>1504.01</v>
      </c>
      <c r="X230" s="12" t="n">
        <f aca="false">W230/$P230</f>
        <v>1.00000664893617</v>
      </c>
      <c r="Y230" s="11" t="n">
        <v>1445</v>
      </c>
      <c r="Z230" s="11" t="n">
        <v>1485</v>
      </c>
    </row>
    <row r="231" customFormat="false" ht="13.9" hidden="false" customHeight="true" outlineLevel="0" collapsed="false">
      <c r="A231" s="1" t="n">
        <v>4</v>
      </c>
      <c r="B231" s="1" t="n">
        <v>3</v>
      </c>
      <c r="D231" s="38"/>
      <c r="E231" s="10" t="n">
        <v>630</v>
      </c>
      <c r="F231" s="10" t="s">
        <v>129</v>
      </c>
      <c r="G231" s="11" t="n">
        <v>15575.72</v>
      </c>
      <c r="H231" s="11" t="n">
        <v>21347.38</v>
      </c>
      <c r="I231" s="11" t="n">
        <f aca="false">1956+9655+42500</f>
        <v>54111</v>
      </c>
      <c r="J231" s="11" t="n">
        <v>50942.85</v>
      </c>
      <c r="K231" s="11" t="n">
        <f aca="false">226+8008</f>
        <v>8234</v>
      </c>
      <c r="L231" s="11"/>
      <c r="M231" s="11"/>
      <c r="N231" s="11" t="n">
        <v>1963</v>
      </c>
      <c r="O231" s="11" t="n">
        <f aca="false">1498+2550</f>
        <v>4048</v>
      </c>
      <c r="P231" s="11" t="n">
        <f aca="false">K231+SUM(L231:O231)</f>
        <v>14245</v>
      </c>
      <c r="Q231" s="11" t="n">
        <v>1680.34</v>
      </c>
      <c r="R231" s="12" t="n">
        <f aca="false">Q231/$P231</f>
        <v>0.117959985959986</v>
      </c>
      <c r="S231" s="11" t="n">
        <v>2258.46</v>
      </c>
      <c r="T231" s="12" t="n">
        <f aca="false">S231/$P231</f>
        <v>0.158544050544051</v>
      </c>
      <c r="U231" s="11" t="n">
        <v>7911.17</v>
      </c>
      <c r="V231" s="12" t="n">
        <f aca="false">U231/$P231</f>
        <v>0.555364689364689</v>
      </c>
      <c r="W231" s="11" t="n">
        <v>14156.5</v>
      </c>
      <c r="X231" s="12" t="n">
        <f aca="false">W231/$P231</f>
        <v>0.993787293787294</v>
      </c>
      <c r="Y231" s="11" t="n">
        <f aca="false">222+8008</f>
        <v>8230</v>
      </c>
      <c r="Z231" s="11" t="n">
        <f aca="false">223+8008</f>
        <v>8231</v>
      </c>
    </row>
    <row r="232" customFormat="false" ht="13.9" hidden="true" customHeight="true" outlineLevel="0" collapsed="false">
      <c r="A232" s="1" t="n">
        <v>4</v>
      </c>
      <c r="B232" s="1" t="n">
        <v>3</v>
      </c>
      <c r="D232" s="38"/>
      <c r="E232" s="10" t="n">
        <v>640</v>
      </c>
      <c r="F232" s="10" t="s">
        <v>130</v>
      </c>
      <c r="G232" s="11" t="n">
        <v>84.57</v>
      </c>
      <c r="H232" s="11" t="n">
        <v>169.28</v>
      </c>
      <c r="I232" s="33" t="n">
        <v>104</v>
      </c>
      <c r="J232" s="11" t="n">
        <v>102.34</v>
      </c>
      <c r="K232" s="33" t="n">
        <v>0</v>
      </c>
      <c r="L232" s="11"/>
      <c r="M232" s="11"/>
      <c r="N232" s="11"/>
      <c r="O232" s="11"/>
      <c r="P232" s="11" t="n">
        <f aca="false">K232+SUM(L232:O232)</f>
        <v>0</v>
      </c>
      <c r="Q232" s="11" t="n">
        <v>0</v>
      </c>
      <c r="R232" s="12" t="e">
        <f aca="false">Q232/$P232</f>
        <v>#DIV/0!</v>
      </c>
      <c r="S232" s="11" t="n">
        <v>0</v>
      </c>
      <c r="T232" s="12" t="e">
        <f aca="false">S232/$P232</f>
        <v>#DIV/0!</v>
      </c>
      <c r="U232" s="11" t="n">
        <v>0</v>
      </c>
      <c r="V232" s="12" t="e">
        <f aca="false">U232/$P232</f>
        <v>#DIV/0!</v>
      </c>
      <c r="W232" s="11" t="n">
        <v>0</v>
      </c>
      <c r="X232" s="12" t="e">
        <f aca="false">W232/$P232</f>
        <v>#DIV/0!</v>
      </c>
      <c r="Y232" s="11" t="n">
        <v>0</v>
      </c>
      <c r="Z232" s="11" t="n">
        <v>0</v>
      </c>
    </row>
    <row r="233" customFormat="false" ht="13.9" hidden="false" customHeight="true" outlineLevel="0" collapsed="false">
      <c r="A233" s="1" t="n">
        <v>4</v>
      </c>
      <c r="B233" s="1" t="n">
        <v>3</v>
      </c>
      <c r="D233" s="75" t="s">
        <v>21</v>
      </c>
      <c r="E233" s="35" t="n">
        <v>41</v>
      </c>
      <c r="F233" s="35" t="s">
        <v>23</v>
      </c>
      <c r="G233" s="36" t="n">
        <f aca="false">SUM(G229:G232)</f>
        <v>31757.35</v>
      </c>
      <c r="H233" s="36" t="n">
        <f aca="false">SUM(H229:H232)</f>
        <v>46997.1</v>
      </c>
      <c r="I233" s="36" t="n">
        <f aca="false">SUM(I229:I232)</f>
        <v>82520</v>
      </c>
      <c r="J233" s="36" t="n">
        <f aca="false">SUM(J229:J232)</f>
        <v>74679.35</v>
      </c>
      <c r="K233" s="36" t="n">
        <f aca="false">SUM(K229:K232)</f>
        <v>14931</v>
      </c>
      <c r="L233" s="36" t="n">
        <f aca="false">SUM(L229:L232)</f>
        <v>0</v>
      </c>
      <c r="M233" s="36" t="n">
        <f aca="false">SUM(M229:M232)</f>
        <v>0</v>
      </c>
      <c r="N233" s="36" t="n">
        <f aca="false">SUM(N229:N232)</f>
        <v>2274</v>
      </c>
      <c r="O233" s="36" t="n">
        <f aca="false">SUM(O229:O232)</f>
        <v>4010</v>
      </c>
      <c r="P233" s="36" t="n">
        <f aca="false">SUM(P229:P232)</f>
        <v>21215</v>
      </c>
      <c r="Q233" s="36" t="n">
        <f aca="false">SUM(Q229:Q232)</f>
        <v>3801.34</v>
      </c>
      <c r="R233" s="37" t="n">
        <f aca="false">Q233/$P233</f>
        <v>0.1791817110535</v>
      </c>
      <c r="S233" s="36" t="n">
        <f aca="false">SUM(S229:S232)</f>
        <v>5660.61</v>
      </c>
      <c r="T233" s="37" t="n">
        <f aca="false">S233/$P233</f>
        <v>0.266821117134103</v>
      </c>
      <c r="U233" s="36" t="n">
        <f aca="false">SUM(U229:U232)</f>
        <v>12620.45</v>
      </c>
      <c r="V233" s="37" t="n">
        <f aca="false">U233/$P233</f>
        <v>0.594883337261372</v>
      </c>
      <c r="W233" s="36" t="n">
        <f aca="false">SUM(W229:W232)</f>
        <v>21126.49</v>
      </c>
      <c r="X233" s="37" t="n">
        <f aca="false">W233/$P233</f>
        <v>0.995827951920811</v>
      </c>
      <c r="Y233" s="36" t="n">
        <f aca="false">SUM(Y229:Y232)</f>
        <v>14343</v>
      </c>
      <c r="Z233" s="36" t="n">
        <f aca="false">SUM(Z229:Z232)</f>
        <v>14513</v>
      </c>
    </row>
    <row r="234" customFormat="false" ht="13.9" hidden="false" customHeight="true" outlineLevel="0" collapsed="false">
      <c r="A234" s="1" t="n">
        <v>4</v>
      </c>
      <c r="B234" s="1" t="n">
        <v>3</v>
      </c>
      <c r="D234" s="74" t="s">
        <v>193</v>
      </c>
      <c r="E234" s="10" t="n">
        <v>640</v>
      </c>
      <c r="F234" s="10" t="s">
        <v>130</v>
      </c>
      <c r="G234" s="11" t="n">
        <v>159.47</v>
      </c>
      <c r="H234" s="11" t="n">
        <v>247.65</v>
      </c>
      <c r="I234" s="11" t="n">
        <v>248</v>
      </c>
      <c r="J234" s="11" t="n">
        <v>246.13</v>
      </c>
      <c r="K234" s="11" t="n">
        <v>62</v>
      </c>
      <c r="L234" s="11"/>
      <c r="M234" s="11"/>
      <c r="N234" s="11"/>
      <c r="O234" s="11" t="n">
        <v>-28</v>
      </c>
      <c r="P234" s="11" t="n">
        <f aca="false">K234+SUM(L234:O234)</f>
        <v>34</v>
      </c>
      <c r="Q234" s="11" t="n">
        <v>0</v>
      </c>
      <c r="R234" s="12" t="n">
        <f aca="false">Q234/$P234</f>
        <v>0</v>
      </c>
      <c r="S234" s="11" t="n">
        <v>0</v>
      </c>
      <c r="T234" s="12" t="n">
        <f aca="false">S234/$P234</f>
        <v>0</v>
      </c>
      <c r="U234" s="11" t="n">
        <v>0</v>
      </c>
      <c r="V234" s="12" t="n">
        <f aca="false">U234/$P234</f>
        <v>0</v>
      </c>
      <c r="W234" s="11" t="n">
        <v>33.69</v>
      </c>
      <c r="X234" s="12" t="n">
        <f aca="false">W234/$P234</f>
        <v>0.990882352941176</v>
      </c>
      <c r="Y234" s="11" t="n">
        <f aca="false">K234</f>
        <v>62</v>
      </c>
      <c r="Z234" s="11" t="n">
        <f aca="false">Y234</f>
        <v>62</v>
      </c>
    </row>
    <row r="235" customFormat="false" ht="13.9" hidden="false" customHeight="true" outlineLevel="0" collapsed="false">
      <c r="A235" s="1" t="n">
        <v>4</v>
      </c>
      <c r="B235" s="1" t="n">
        <v>3</v>
      </c>
      <c r="D235" s="75" t="s">
        <v>21</v>
      </c>
      <c r="E235" s="35" t="n">
        <v>72</v>
      </c>
      <c r="F235" s="35" t="s">
        <v>25</v>
      </c>
      <c r="G235" s="36" t="n">
        <f aca="false">SUM(G234:G234)</f>
        <v>159.47</v>
      </c>
      <c r="H235" s="36" t="n">
        <f aca="false">SUM(H234:H234)</f>
        <v>247.65</v>
      </c>
      <c r="I235" s="36" t="n">
        <f aca="false">SUM(I234:I234)</f>
        <v>248</v>
      </c>
      <c r="J235" s="36" t="n">
        <f aca="false">SUM(J234:J234)</f>
        <v>246.13</v>
      </c>
      <c r="K235" s="36" t="n">
        <f aca="false">SUM(K234:K234)</f>
        <v>62</v>
      </c>
      <c r="L235" s="36" t="n">
        <f aca="false">SUM(L234:L234)</f>
        <v>0</v>
      </c>
      <c r="M235" s="36" t="n">
        <f aca="false">SUM(M234:M234)</f>
        <v>0</v>
      </c>
      <c r="N235" s="36" t="n">
        <f aca="false">SUM(N234:N234)</f>
        <v>0</v>
      </c>
      <c r="O235" s="36" t="n">
        <f aca="false">SUM(O234:O234)</f>
        <v>-28</v>
      </c>
      <c r="P235" s="36" t="n">
        <f aca="false">SUM(P234:P234)</f>
        <v>34</v>
      </c>
      <c r="Q235" s="36" t="n">
        <f aca="false">SUM(Q234:Q234)</f>
        <v>0</v>
      </c>
      <c r="R235" s="37" t="n">
        <f aca="false">Q235/$P235</f>
        <v>0</v>
      </c>
      <c r="S235" s="36" t="n">
        <f aca="false">SUM(S234:S234)</f>
        <v>0</v>
      </c>
      <c r="T235" s="37" t="n">
        <f aca="false">S235/$P235</f>
        <v>0</v>
      </c>
      <c r="U235" s="36" t="n">
        <f aca="false">SUM(U234:U234)</f>
        <v>0</v>
      </c>
      <c r="V235" s="37" t="n">
        <f aca="false">U235/$P235</f>
        <v>0</v>
      </c>
      <c r="W235" s="36" t="n">
        <f aca="false">SUM(W234:W234)</f>
        <v>33.69</v>
      </c>
      <c r="X235" s="37" t="n">
        <f aca="false">W235/$P235</f>
        <v>0.990882352941176</v>
      </c>
      <c r="Y235" s="36" t="n">
        <f aca="false">SUM(Y234:Y234)</f>
        <v>62</v>
      </c>
      <c r="Z235" s="36" t="n">
        <f aca="false">SUM(Z234:Z234)</f>
        <v>62</v>
      </c>
    </row>
    <row r="236" customFormat="false" ht="13.9" hidden="false" customHeight="true" outlineLevel="0" collapsed="false">
      <c r="A236" s="1" t="n">
        <v>4</v>
      </c>
      <c r="B236" s="1" t="n">
        <v>3</v>
      </c>
      <c r="D236" s="77"/>
      <c r="E236" s="78"/>
      <c r="F236" s="13" t="s">
        <v>122</v>
      </c>
      <c r="G236" s="14" t="n">
        <f aca="false">G228+G233+G235</f>
        <v>35010.78</v>
      </c>
      <c r="H236" s="14" t="n">
        <f aca="false">H228+H233+H235</f>
        <v>47244.75</v>
      </c>
      <c r="I236" s="14" t="n">
        <f aca="false">I228+I233+I235</f>
        <v>82768</v>
      </c>
      <c r="J236" s="14" t="n">
        <f aca="false">J228+J233+J235</f>
        <v>74925.48</v>
      </c>
      <c r="K236" s="14" t="n">
        <f aca="false">K228+K233+K235</f>
        <v>14993</v>
      </c>
      <c r="L236" s="14" t="n">
        <f aca="false">L228+L233+L235</f>
        <v>0</v>
      </c>
      <c r="M236" s="14" t="n">
        <f aca="false">M228+M233+M235</f>
        <v>0</v>
      </c>
      <c r="N236" s="14" t="n">
        <f aca="false">N228+N233+N235</f>
        <v>2274</v>
      </c>
      <c r="O236" s="14" t="n">
        <f aca="false">O228+O233+O235</f>
        <v>3982</v>
      </c>
      <c r="P236" s="14" t="n">
        <f aca="false">P228+P233+P235</f>
        <v>21249</v>
      </c>
      <c r="Q236" s="14" t="n">
        <f aca="false">Q228+Q233+Q235</f>
        <v>3801.34</v>
      </c>
      <c r="R236" s="15" t="n">
        <f aca="false">Q236/$P236</f>
        <v>0.178895006823851</v>
      </c>
      <c r="S236" s="14" t="n">
        <f aca="false">S228+S233+S235</f>
        <v>5660.61</v>
      </c>
      <c r="T236" s="15" t="n">
        <f aca="false">S236/$P236</f>
        <v>0.266394183255683</v>
      </c>
      <c r="U236" s="14" t="n">
        <f aca="false">U228+U233+U235</f>
        <v>12620.45</v>
      </c>
      <c r="V236" s="15" t="n">
        <f aca="false">U236/$P236</f>
        <v>0.59393147912843</v>
      </c>
      <c r="W236" s="14" t="n">
        <f aca="false">W228+W233+W235</f>
        <v>21160.18</v>
      </c>
      <c r="X236" s="15" t="n">
        <f aca="false">W236/$P236</f>
        <v>0.995820038590051</v>
      </c>
      <c r="Y236" s="14" t="n">
        <f aca="false">Y228+Y233+Y235</f>
        <v>14405</v>
      </c>
      <c r="Z236" s="14" t="n">
        <f aca="false">Z228+Z233+Z235</f>
        <v>14575</v>
      </c>
    </row>
    <row r="238" customFormat="false" ht="13.9" hidden="false" customHeight="true" outlineLevel="0" collapsed="false">
      <c r="E238" s="39" t="s">
        <v>57</v>
      </c>
      <c r="F238" s="17" t="s">
        <v>147</v>
      </c>
      <c r="G238" s="40" t="n">
        <v>392.8</v>
      </c>
      <c r="H238" s="82" t="n">
        <v>11480.96</v>
      </c>
      <c r="I238" s="82" t="n">
        <v>473</v>
      </c>
      <c r="J238" s="82" t="n">
        <v>473</v>
      </c>
      <c r="K238" s="82" t="n">
        <v>704</v>
      </c>
      <c r="L238" s="82"/>
      <c r="M238" s="82"/>
      <c r="N238" s="82" t="n">
        <v>223</v>
      </c>
      <c r="O238" s="82"/>
      <c r="P238" s="82" t="n">
        <f aca="false">K238+SUM(L238:O238)</f>
        <v>927</v>
      </c>
      <c r="Q238" s="82" t="n">
        <v>243.05</v>
      </c>
      <c r="R238" s="103" t="n">
        <f aca="false">Q238/$P238</f>
        <v>0.262189859762675</v>
      </c>
      <c r="S238" s="82" t="n">
        <v>471.05</v>
      </c>
      <c r="T238" s="103" t="n">
        <f aca="false">S238/$P238</f>
        <v>0.50814455231931</v>
      </c>
      <c r="U238" s="82" t="n">
        <v>699.05</v>
      </c>
      <c r="V238" s="103" t="n">
        <f aca="false">U238/$P238</f>
        <v>0.754099244875944</v>
      </c>
      <c r="W238" s="82" t="n">
        <v>927.05</v>
      </c>
      <c r="X238" s="104" t="n">
        <f aca="false">W238/$P238</f>
        <v>1.00005393743258</v>
      </c>
      <c r="Y238" s="40" t="n">
        <f aca="false">K238</f>
        <v>704</v>
      </c>
      <c r="Z238" s="43" t="n">
        <f aca="false">Y238</f>
        <v>704</v>
      </c>
    </row>
    <row r="239" customFormat="false" ht="13.9" hidden="true" customHeight="true" outlineLevel="0" collapsed="false">
      <c r="E239" s="44"/>
      <c r="F239" s="83" t="s">
        <v>151</v>
      </c>
      <c r="G239" s="70" t="n">
        <v>1733.62</v>
      </c>
      <c r="H239" s="84" t="n">
        <v>1641.45</v>
      </c>
      <c r="I239" s="84" t="n">
        <v>1630</v>
      </c>
      <c r="J239" s="84" t="n">
        <v>290.97</v>
      </c>
      <c r="K239" s="84" t="n">
        <v>300</v>
      </c>
      <c r="L239" s="84"/>
      <c r="M239" s="84"/>
      <c r="N239" s="84"/>
      <c r="O239" s="84"/>
      <c r="P239" s="84" t="n">
        <f aca="false">K239+SUM(L239:O239)</f>
        <v>300</v>
      </c>
      <c r="Q239" s="84"/>
      <c r="R239" s="85" t="n">
        <f aca="false">Q239/$P239</f>
        <v>0</v>
      </c>
      <c r="S239" s="84"/>
      <c r="T239" s="71" t="n">
        <f aca="false">S239/$P239</f>
        <v>0</v>
      </c>
      <c r="U239" s="84"/>
      <c r="V239" s="85" t="n">
        <f aca="false">U239/$P239</f>
        <v>0</v>
      </c>
      <c r="W239" s="84"/>
      <c r="X239" s="47" t="n">
        <f aca="false">W239/$P239</f>
        <v>0</v>
      </c>
      <c r="Y239" s="70"/>
      <c r="Z239" s="48"/>
    </row>
    <row r="240" customFormat="false" ht="13.9" hidden="false" customHeight="true" outlineLevel="0" collapsed="false">
      <c r="E240" s="52"/>
      <c r="F240" s="86" t="s">
        <v>196</v>
      </c>
      <c r="G240" s="54"/>
      <c r="H240" s="54" t="n">
        <v>3966</v>
      </c>
      <c r="I240" s="54" t="n">
        <v>3966</v>
      </c>
      <c r="J240" s="54" t="n">
        <v>4232.98</v>
      </c>
      <c r="K240" s="54" t="n">
        <v>4233</v>
      </c>
      <c r="L240" s="54"/>
      <c r="M240" s="54"/>
      <c r="N240" s="54"/>
      <c r="O240" s="54"/>
      <c r="P240" s="54" t="n">
        <f aca="false">K240+SUM(L240:O240)</f>
        <v>4233</v>
      </c>
      <c r="Q240" s="54" t="n">
        <v>430.23</v>
      </c>
      <c r="R240" s="55" t="n">
        <f aca="false">Q240/$P240</f>
        <v>0.101637136782424</v>
      </c>
      <c r="S240" s="54" t="n">
        <v>655.31</v>
      </c>
      <c r="T240" s="55" t="n">
        <f aca="false">S240/$P240</f>
        <v>0.154809827545476</v>
      </c>
      <c r="U240" s="54" t="n">
        <v>3966</v>
      </c>
      <c r="V240" s="55" t="n">
        <f aca="false">U240/$P240</f>
        <v>0.936924167257264</v>
      </c>
      <c r="W240" s="54" t="n">
        <v>4232.98</v>
      </c>
      <c r="X240" s="56" t="n">
        <f aca="false">W240/$P240</f>
        <v>0.999995275218521</v>
      </c>
      <c r="Y240" s="54" t="n">
        <f aca="false">K240</f>
        <v>4233</v>
      </c>
      <c r="Z240" s="57" t="n">
        <f aca="false">Y240</f>
        <v>4233</v>
      </c>
    </row>
    <row r="241" customFormat="false" ht="13.9" hidden="true" customHeight="true" outlineLevel="0" collapsed="false">
      <c r="E241" s="44"/>
      <c r="F241" s="83" t="s">
        <v>197</v>
      </c>
      <c r="G241" s="70"/>
      <c r="H241" s="84" t="n">
        <v>405</v>
      </c>
      <c r="I241" s="84" t="n">
        <v>480</v>
      </c>
      <c r="J241" s="84" t="n">
        <v>2558.1</v>
      </c>
      <c r="K241" s="84" t="n">
        <v>570</v>
      </c>
      <c r="L241" s="84"/>
      <c r="M241" s="84"/>
      <c r="N241" s="84"/>
      <c r="O241" s="84"/>
      <c r="P241" s="84" t="n">
        <f aca="false">K241+SUM(L241:O241)</f>
        <v>570</v>
      </c>
      <c r="Q241" s="84"/>
      <c r="R241" s="85" t="n">
        <f aca="false">Q241/$P241</f>
        <v>0</v>
      </c>
      <c r="S241" s="84"/>
      <c r="T241" s="85" t="n">
        <f aca="false">S241/$P241</f>
        <v>0</v>
      </c>
      <c r="U241" s="84"/>
      <c r="V241" s="85" t="n">
        <f aca="false">U241/$P241</f>
        <v>0</v>
      </c>
      <c r="W241" s="84"/>
      <c r="X241" s="51" t="n">
        <f aca="false">W241/$P241</f>
        <v>0</v>
      </c>
      <c r="Y241" s="70" t="n">
        <f aca="false">K241</f>
        <v>570</v>
      </c>
      <c r="Z241" s="48" t="n">
        <f aca="false">Y241</f>
        <v>570</v>
      </c>
    </row>
    <row r="242" customFormat="false" ht="13.9" hidden="true" customHeight="true" outlineLevel="0" collapsed="false">
      <c r="E242" s="44"/>
      <c r="F242" s="83" t="s">
        <v>198</v>
      </c>
      <c r="G242" s="70"/>
      <c r="H242" s="84"/>
      <c r="I242" s="84" t="n">
        <v>42500</v>
      </c>
      <c r="J242" s="84" t="n">
        <v>39928.5</v>
      </c>
      <c r="K242" s="84"/>
      <c r="L242" s="84"/>
      <c r="M242" s="84"/>
      <c r="N242" s="84"/>
      <c r="O242" s="84"/>
      <c r="P242" s="84" t="n">
        <f aca="false">K242+SUM(L242:O242)</f>
        <v>0</v>
      </c>
      <c r="Q242" s="84"/>
      <c r="R242" s="85" t="e">
        <f aca="false">Q242/$P242</f>
        <v>#DIV/0!</v>
      </c>
      <c r="S242" s="84"/>
      <c r="T242" s="71" t="e">
        <f aca="false">S242/$P242</f>
        <v>#DIV/0!</v>
      </c>
      <c r="U242" s="84"/>
      <c r="V242" s="85" t="e">
        <f aca="false">U242/$P242</f>
        <v>#DIV/0!</v>
      </c>
      <c r="W242" s="84"/>
      <c r="X242" s="47" t="e">
        <f aca="false">W242/$P242</f>
        <v>#DIV/0!</v>
      </c>
      <c r="Y242" s="70"/>
      <c r="Z242" s="48"/>
    </row>
    <row r="243" customFormat="false" ht="13.9" hidden="true" customHeight="true" outlineLevel="0" collapsed="false">
      <c r="E243" s="52"/>
      <c r="F243" s="86" t="s">
        <v>199</v>
      </c>
      <c r="G243" s="87" t="n">
        <v>3256.8</v>
      </c>
      <c r="H243" s="54"/>
      <c r="I243" s="54"/>
      <c r="J243" s="54"/>
      <c r="K243" s="54"/>
      <c r="L243" s="54"/>
      <c r="M243" s="54"/>
      <c r="N243" s="54"/>
      <c r="O243" s="54"/>
      <c r="P243" s="54" t="n">
        <f aca="false">K243+SUM(L243:O243)</f>
        <v>0</v>
      </c>
      <c r="Q243" s="54"/>
      <c r="R243" s="55" t="e">
        <f aca="false">Q243/$P243</f>
        <v>#DIV/0!</v>
      </c>
      <c r="S243" s="54"/>
      <c r="T243" s="55" t="e">
        <f aca="false">S243/$P243</f>
        <v>#DIV/0!</v>
      </c>
      <c r="U243" s="54"/>
      <c r="V243" s="55" t="e">
        <f aca="false">U243/$P243</f>
        <v>#DIV/0!</v>
      </c>
      <c r="W243" s="54"/>
      <c r="X243" s="56" t="e">
        <f aca="false">W243/$P243</f>
        <v>#DIV/0!</v>
      </c>
      <c r="Y243" s="54"/>
      <c r="Z243" s="57"/>
    </row>
    <row r="245" customFormat="false" ht="13.9" hidden="false" customHeight="true" outlineLevel="0" collapsed="false">
      <c r="D245" s="19" t="s">
        <v>200</v>
      </c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20"/>
      <c r="S245" s="19"/>
      <c r="T245" s="20"/>
      <c r="U245" s="19"/>
      <c r="V245" s="20"/>
      <c r="W245" s="19"/>
      <c r="X245" s="20"/>
      <c r="Y245" s="19"/>
      <c r="Z245" s="19"/>
    </row>
    <row r="246" customFormat="false" ht="13.9" hidden="false" customHeight="true" outlineLevel="0" collapsed="false">
      <c r="D246" s="7" t="s">
        <v>33</v>
      </c>
      <c r="E246" s="7" t="s">
        <v>34</v>
      </c>
      <c r="F246" s="7" t="s">
        <v>35</v>
      </c>
      <c r="G246" s="7" t="s">
        <v>1</v>
      </c>
      <c r="H246" s="7" t="s">
        <v>2</v>
      </c>
      <c r="I246" s="7" t="s">
        <v>3</v>
      </c>
      <c r="J246" s="7" t="s">
        <v>4</v>
      </c>
      <c r="K246" s="7" t="s">
        <v>5</v>
      </c>
      <c r="L246" s="7" t="s">
        <v>6</v>
      </c>
      <c r="M246" s="7" t="s">
        <v>7</v>
      </c>
      <c r="N246" s="7" t="s">
        <v>8</v>
      </c>
      <c r="O246" s="7" t="s">
        <v>9</v>
      </c>
      <c r="P246" s="7" t="s">
        <v>10</v>
      </c>
      <c r="Q246" s="7" t="s">
        <v>11</v>
      </c>
      <c r="R246" s="8" t="s">
        <v>12</v>
      </c>
      <c r="S246" s="7" t="s">
        <v>13</v>
      </c>
      <c r="T246" s="8" t="s">
        <v>14</v>
      </c>
      <c r="U246" s="7" t="s">
        <v>15</v>
      </c>
      <c r="V246" s="8" t="s">
        <v>16</v>
      </c>
      <c r="W246" s="7" t="s">
        <v>17</v>
      </c>
      <c r="X246" s="8" t="s">
        <v>18</v>
      </c>
      <c r="Y246" s="7" t="s">
        <v>19</v>
      </c>
      <c r="Z246" s="7" t="s">
        <v>20</v>
      </c>
    </row>
    <row r="247" customFormat="false" ht="13.9" hidden="false" customHeight="true" outlineLevel="0" collapsed="false">
      <c r="A247" s="1" t="n">
        <v>5</v>
      </c>
      <c r="D247" s="21" t="s">
        <v>21</v>
      </c>
      <c r="E247" s="22" t="n">
        <v>111</v>
      </c>
      <c r="F247" s="22" t="s">
        <v>47</v>
      </c>
      <c r="G247" s="23" t="n">
        <f aca="false">G255+G299</f>
        <v>25039.32</v>
      </c>
      <c r="H247" s="23" t="n">
        <f aca="false">H255+H299</f>
        <v>3073.49</v>
      </c>
      <c r="I247" s="23" t="n">
        <f aca="false">I255+I299</f>
        <v>6927</v>
      </c>
      <c r="J247" s="23" t="n">
        <f aca="false">J255+J299</f>
        <v>9886.81</v>
      </c>
      <c r="K247" s="23" t="n">
        <f aca="false">K255+K299</f>
        <v>301</v>
      </c>
      <c r="L247" s="23" t="n">
        <f aca="false">L255+L299</f>
        <v>8259</v>
      </c>
      <c r="M247" s="23" t="n">
        <f aca="false">M255+M299</f>
        <v>0</v>
      </c>
      <c r="N247" s="23" t="n">
        <f aca="false">N255+N299</f>
        <v>0</v>
      </c>
      <c r="O247" s="23" t="n">
        <f aca="false">O255+O299</f>
        <v>11</v>
      </c>
      <c r="P247" s="23" t="n">
        <f aca="false">P255+P299</f>
        <v>8571</v>
      </c>
      <c r="Q247" s="23" t="n">
        <f aca="false">Q255+Q299</f>
        <v>0</v>
      </c>
      <c r="R247" s="24" t="n">
        <f aca="false">Q247/$P247</f>
        <v>0</v>
      </c>
      <c r="S247" s="23" t="n">
        <f aca="false">S255+S299</f>
        <v>917.65</v>
      </c>
      <c r="T247" s="24" t="n">
        <f aca="false">S247/$P247</f>
        <v>0.107064519892661</v>
      </c>
      <c r="U247" s="23" t="n">
        <f aca="false">U255+U299</f>
        <v>4588.25</v>
      </c>
      <c r="V247" s="24" t="n">
        <f aca="false">U247/$P247</f>
        <v>0.535322599463307</v>
      </c>
      <c r="W247" s="23" t="n">
        <f aca="false">W255+W299</f>
        <v>8602.18</v>
      </c>
      <c r="X247" s="24" t="n">
        <f aca="false">W247/$P247</f>
        <v>1.00363784855909</v>
      </c>
      <c r="Y247" s="23" t="n">
        <f aca="false">Y255+Y299</f>
        <v>301</v>
      </c>
      <c r="Z247" s="23" t="n">
        <f aca="false">Z255+Z299</f>
        <v>301</v>
      </c>
    </row>
    <row r="248" customFormat="false" ht="13.9" hidden="false" customHeight="true" outlineLevel="0" collapsed="false">
      <c r="A248" s="1" t="n">
        <v>5</v>
      </c>
      <c r="D248" s="21"/>
      <c r="E248" s="22" t="n">
        <v>41</v>
      </c>
      <c r="F248" s="22" t="s">
        <v>23</v>
      </c>
      <c r="G248" s="23" t="n">
        <f aca="false">G256+G300</f>
        <v>31104.1</v>
      </c>
      <c r="H248" s="23" t="n">
        <f aca="false">H256+H300</f>
        <v>32004.41</v>
      </c>
      <c r="I248" s="23" t="n">
        <f aca="false">I256+I300</f>
        <v>40289</v>
      </c>
      <c r="J248" s="23" t="n">
        <f aca="false">J256+J300</f>
        <v>35030.85</v>
      </c>
      <c r="K248" s="23" t="n">
        <f aca="false">K256+K300</f>
        <v>39317</v>
      </c>
      <c r="L248" s="23" t="n">
        <f aca="false">L256+L300</f>
        <v>1084</v>
      </c>
      <c r="M248" s="23" t="n">
        <f aca="false">M256+M300</f>
        <v>4683</v>
      </c>
      <c r="N248" s="23" t="n">
        <f aca="false">N256+N300</f>
        <v>4917</v>
      </c>
      <c r="O248" s="23" t="n">
        <f aca="false">O256+O300</f>
        <v>1126</v>
      </c>
      <c r="P248" s="23" t="n">
        <f aca="false">P256+P300</f>
        <v>51127</v>
      </c>
      <c r="Q248" s="23" t="n">
        <f aca="false">Q256+Q300</f>
        <v>14682.79</v>
      </c>
      <c r="R248" s="24" t="n">
        <f aca="false">Q248/$P248</f>
        <v>0.287182701899192</v>
      </c>
      <c r="S248" s="23" t="n">
        <f aca="false">S256+S300</f>
        <v>24763.24</v>
      </c>
      <c r="T248" s="24" t="n">
        <f aca="false">S248/$P248</f>
        <v>0.484347604983668</v>
      </c>
      <c r="U248" s="23" t="n">
        <f aca="false">U256+U300</f>
        <v>37430.75</v>
      </c>
      <c r="V248" s="24" t="n">
        <f aca="false">U248/$P248</f>
        <v>0.732113169166976</v>
      </c>
      <c r="W248" s="23" t="n">
        <f aca="false">W256+W300</f>
        <v>50941.99</v>
      </c>
      <c r="X248" s="24" t="n">
        <f aca="false">W248/$P248</f>
        <v>0.996381364054218</v>
      </c>
      <c r="Y248" s="23" t="n">
        <f aca="false">Y256+Y300</f>
        <v>39407</v>
      </c>
      <c r="Z248" s="23" t="n">
        <f aca="false">Z256+Z300</f>
        <v>39498</v>
      </c>
    </row>
    <row r="249" customFormat="false" ht="13.9" hidden="false" customHeight="true" outlineLevel="0" collapsed="false">
      <c r="A249" s="1" t="n">
        <v>5</v>
      </c>
      <c r="D249" s="21"/>
      <c r="E249" s="22" t="n">
        <v>71</v>
      </c>
      <c r="F249" s="22" t="s">
        <v>24</v>
      </c>
      <c r="G249" s="23" t="n">
        <f aca="false">G257</f>
        <v>1400</v>
      </c>
      <c r="H249" s="23" t="n">
        <f aca="false">H257</f>
        <v>1400</v>
      </c>
      <c r="I249" s="23" t="n">
        <f aca="false">I257</f>
        <v>3000</v>
      </c>
      <c r="J249" s="23" t="n">
        <f aca="false">J257</f>
        <v>3000</v>
      </c>
      <c r="K249" s="23" t="n">
        <f aca="false">K257</f>
        <v>3000</v>
      </c>
      <c r="L249" s="23" t="n">
        <f aca="false">L257</f>
        <v>0</v>
      </c>
      <c r="M249" s="23" t="n">
        <f aca="false">M257</f>
        <v>0</v>
      </c>
      <c r="N249" s="23" t="n">
        <f aca="false">N257</f>
        <v>0</v>
      </c>
      <c r="O249" s="23" t="n">
        <f aca="false">O257</f>
        <v>0</v>
      </c>
      <c r="P249" s="23" t="n">
        <f aca="false">P257</f>
        <v>3000</v>
      </c>
      <c r="Q249" s="23" t="n">
        <f aca="false">Q257</f>
        <v>0</v>
      </c>
      <c r="R249" s="24" t="n">
        <f aca="false">Q249/$P249</f>
        <v>0</v>
      </c>
      <c r="S249" s="23" t="n">
        <f aca="false">S257</f>
        <v>199.38</v>
      </c>
      <c r="T249" s="24" t="n">
        <f aca="false">S249/$P249</f>
        <v>0.06646</v>
      </c>
      <c r="U249" s="23" t="n">
        <f aca="false">U257</f>
        <v>3000</v>
      </c>
      <c r="V249" s="24" t="n">
        <f aca="false">U249/$P249</f>
        <v>1</v>
      </c>
      <c r="W249" s="23" t="n">
        <f aca="false">W257</f>
        <v>3000</v>
      </c>
      <c r="X249" s="24" t="n">
        <f aca="false">W249/$P249</f>
        <v>1</v>
      </c>
      <c r="Y249" s="23" t="n">
        <f aca="false">Y257</f>
        <v>3000</v>
      </c>
      <c r="Z249" s="23" t="n">
        <f aca="false">Z257</f>
        <v>3000</v>
      </c>
    </row>
    <row r="250" customFormat="false" ht="13.9" hidden="false" customHeight="true" outlineLevel="0" collapsed="false">
      <c r="A250" s="1" t="n">
        <v>5</v>
      </c>
      <c r="D250" s="21"/>
      <c r="E250" s="22" t="n">
        <v>72</v>
      </c>
      <c r="F250" s="22" t="s">
        <v>25</v>
      </c>
      <c r="G250" s="23" t="n">
        <f aca="false">G301</f>
        <v>303.74</v>
      </c>
      <c r="H250" s="23" t="n">
        <f aca="false">H301</f>
        <v>0</v>
      </c>
      <c r="I250" s="23" t="n">
        <f aca="false">I301</f>
        <v>165</v>
      </c>
      <c r="J250" s="23" t="n">
        <f aca="false">J301</f>
        <v>0</v>
      </c>
      <c r="K250" s="23" t="n">
        <f aca="false">K301</f>
        <v>0</v>
      </c>
      <c r="L250" s="23" t="n">
        <f aca="false">L301</f>
        <v>0</v>
      </c>
      <c r="M250" s="23" t="n">
        <f aca="false">M301</f>
        <v>0</v>
      </c>
      <c r="N250" s="23" t="n">
        <f aca="false">N301</f>
        <v>0</v>
      </c>
      <c r="O250" s="23" t="n">
        <f aca="false">O301</f>
        <v>138</v>
      </c>
      <c r="P250" s="23" t="n">
        <f aca="false">P301</f>
        <v>138</v>
      </c>
      <c r="Q250" s="23" t="n">
        <f aca="false">Q301</f>
        <v>0</v>
      </c>
      <c r="R250" s="24" t="n">
        <f aca="false">Q250/$P250</f>
        <v>0</v>
      </c>
      <c r="S250" s="23" t="n">
        <f aca="false">S301</f>
        <v>0</v>
      </c>
      <c r="T250" s="24" t="n">
        <f aca="false">S250/$P250</f>
        <v>0</v>
      </c>
      <c r="U250" s="23" t="n">
        <f aca="false">U301</f>
        <v>0</v>
      </c>
      <c r="V250" s="24" t="n">
        <f aca="false">U250/$P250</f>
        <v>0</v>
      </c>
      <c r="W250" s="23" t="n">
        <f aca="false">W301</f>
        <v>138.36</v>
      </c>
      <c r="X250" s="24" t="n">
        <f aca="false">W250/$P250</f>
        <v>1.00260869565217</v>
      </c>
      <c r="Y250" s="23" t="n">
        <f aca="false">Y301</f>
        <v>0</v>
      </c>
      <c r="Z250" s="23" t="n">
        <f aca="false">Z301</f>
        <v>0</v>
      </c>
    </row>
    <row r="251" customFormat="false" ht="13.9" hidden="false" customHeight="true" outlineLevel="0" collapsed="false">
      <c r="A251" s="1" t="n">
        <v>5</v>
      </c>
      <c r="D251" s="17"/>
      <c r="E251" s="18"/>
      <c r="F251" s="25" t="s">
        <v>122</v>
      </c>
      <c r="G251" s="26" t="n">
        <f aca="false">SUM(G247:G250)</f>
        <v>57847.16</v>
      </c>
      <c r="H251" s="26" t="n">
        <f aca="false">SUM(H247:H250)</f>
        <v>36477.9</v>
      </c>
      <c r="I251" s="26" t="n">
        <f aca="false">SUM(I247:I250)</f>
        <v>50381</v>
      </c>
      <c r="J251" s="26" t="n">
        <f aca="false">SUM(J247:J250)</f>
        <v>47917.66</v>
      </c>
      <c r="K251" s="26" t="n">
        <f aca="false">SUM(K247:K250)</f>
        <v>42618</v>
      </c>
      <c r="L251" s="26" t="n">
        <f aca="false">SUM(L247:L250)</f>
        <v>9343</v>
      </c>
      <c r="M251" s="26" t="n">
        <f aca="false">SUM(M247:M250)</f>
        <v>4683</v>
      </c>
      <c r="N251" s="26" t="n">
        <f aca="false">SUM(N247:N250)</f>
        <v>4917</v>
      </c>
      <c r="O251" s="26" t="n">
        <f aca="false">SUM(O247:O250)</f>
        <v>1275</v>
      </c>
      <c r="P251" s="26" t="n">
        <f aca="false">SUM(P247:P250)</f>
        <v>62836</v>
      </c>
      <c r="Q251" s="26" t="n">
        <f aca="false">SUM(Q247:Q250)</f>
        <v>14682.79</v>
      </c>
      <c r="R251" s="27" t="n">
        <f aca="false">Q251/$P251</f>
        <v>0.23366843847476</v>
      </c>
      <c r="S251" s="26" t="n">
        <f aca="false">SUM(S247:S250)</f>
        <v>25880.27</v>
      </c>
      <c r="T251" s="27" t="n">
        <f aca="false">S251/$P251</f>
        <v>0.411870106308486</v>
      </c>
      <c r="U251" s="26" t="n">
        <f aca="false">SUM(U247:U250)</f>
        <v>45019</v>
      </c>
      <c r="V251" s="27" t="n">
        <f aca="false">U251/$P251</f>
        <v>0.716452352154816</v>
      </c>
      <c r="W251" s="26" t="n">
        <f aca="false">SUM(W247:W250)</f>
        <v>62682.53</v>
      </c>
      <c r="X251" s="27" t="n">
        <f aca="false">W251/$P251</f>
        <v>0.997557610287097</v>
      </c>
      <c r="Y251" s="26" t="n">
        <f aca="false">SUM(Y247:Y250)</f>
        <v>42708</v>
      </c>
      <c r="Z251" s="26" t="n">
        <f aca="false">SUM(Z247:Z250)</f>
        <v>42799</v>
      </c>
    </row>
    <row r="253" customFormat="false" ht="13.9" hidden="false" customHeight="true" outlineLevel="0" collapsed="false">
      <c r="D253" s="28" t="s">
        <v>201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9"/>
      <c r="S253" s="28"/>
      <c r="T253" s="29"/>
      <c r="U253" s="28"/>
      <c r="V253" s="29"/>
      <c r="W253" s="28"/>
      <c r="X253" s="29"/>
      <c r="Y253" s="28"/>
      <c r="Z253" s="28"/>
    </row>
    <row r="254" customFormat="false" ht="13.9" hidden="false" customHeight="true" outlineLevel="0" collapsed="false">
      <c r="D254" s="105"/>
      <c r="E254" s="105"/>
      <c r="F254" s="105"/>
      <c r="G254" s="7" t="s">
        <v>1</v>
      </c>
      <c r="H254" s="7" t="s">
        <v>2</v>
      </c>
      <c r="I254" s="7" t="s">
        <v>3</v>
      </c>
      <c r="J254" s="7" t="s">
        <v>4</v>
      </c>
      <c r="K254" s="7" t="s">
        <v>5</v>
      </c>
      <c r="L254" s="7" t="s">
        <v>6</v>
      </c>
      <c r="M254" s="7" t="s">
        <v>7</v>
      </c>
      <c r="N254" s="7" t="s">
        <v>8</v>
      </c>
      <c r="O254" s="7" t="s">
        <v>9</v>
      </c>
      <c r="P254" s="7" t="s">
        <v>10</v>
      </c>
      <c r="Q254" s="7" t="s">
        <v>11</v>
      </c>
      <c r="R254" s="8" t="s">
        <v>12</v>
      </c>
      <c r="S254" s="7" t="s">
        <v>13</v>
      </c>
      <c r="T254" s="8" t="s">
        <v>14</v>
      </c>
      <c r="U254" s="7" t="s">
        <v>15</v>
      </c>
      <c r="V254" s="8" t="s">
        <v>16</v>
      </c>
      <c r="W254" s="7" t="s">
        <v>17</v>
      </c>
      <c r="X254" s="8" t="s">
        <v>18</v>
      </c>
      <c r="Y254" s="7" t="s">
        <v>19</v>
      </c>
      <c r="Z254" s="7" t="s">
        <v>20</v>
      </c>
    </row>
    <row r="255" customFormat="false" ht="13.9" hidden="false" customHeight="true" outlineLevel="0" collapsed="false">
      <c r="A255" s="1" t="n">
        <v>5</v>
      </c>
      <c r="B255" s="1" t="n">
        <v>1</v>
      </c>
      <c r="D255" s="30" t="s">
        <v>21</v>
      </c>
      <c r="E255" s="10" t="n">
        <v>111</v>
      </c>
      <c r="F255" s="10" t="s">
        <v>47</v>
      </c>
      <c r="G255" s="11" t="n">
        <f aca="false">G276</f>
        <v>3412.57</v>
      </c>
      <c r="H255" s="11" t="n">
        <f aca="false">H276</f>
        <v>3073.49</v>
      </c>
      <c r="I255" s="11" t="n">
        <f aca="false">I276</f>
        <v>6927</v>
      </c>
      <c r="J255" s="11" t="n">
        <f aca="false">J276</f>
        <v>9886.81</v>
      </c>
      <c r="K255" s="11" t="n">
        <f aca="false">K276</f>
        <v>301</v>
      </c>
      <c r="L255" s="11" t="n">
        <f aca="false">L276</f>
        <v>0</v>
      </c>
      <c r="M255" s="11" t="n">
        <f aca="false">M276</f>
        <v>0</v>
      </c>
      <c r="N255" s="11" t="n">
        <f aca="false">N276</f>
        <v>0</v>
      </c>
      <c r="O255" s="11" t="n">
        <f aca="false">O276</f>
        <v>11</v>
      </c>
      <c r="P255" s="11" t="n">
        <f aca="false">P276</f>
        <v>312</v>
      </c>
      <c r="Q255" s="11" t="n">
        <f aca="false">Q276</f>
        <v>0</v>
      </c>
      <c r="R255" s="12" t="n">
        <f aca="false">Q255/$P255</f>
        <v>0</v>
      </c>
      <c r="S255" s="11" t="n">
        <f aca="false">S276</f>
        <v>0</v>
      </c>
      <c r="T255" s="12" t="n">
        <f aca="false">S255/$P255</f>
        <v>0</v>
      </c>
      <c r="U255" s="11" t="n">
        <f aca="false">U276</f>
        <v>0</v>
      </c>
      <c r="V255" s="12" t="n">
        <f aca="false">U255/$P255</f>
        <v>0</v>
      </c>
      <c r="W255" s="11" t="n">
        <f aca="false">W276</f>
        <v>311.89</v>
      </c>
      <c r="X255" s="12" t="n">
        <f aca="false">W255/$P255</f>
        <v>0.999647435897436</v>
      </c>
      <c r="Y255" s="11" t="n">
        <f aca="false">Y276</f>
        <v>301</v>
      </c>
      <c r="Z255" s="11" t="n">
        <f aca="false">Y255</f>
        <v>301</v>
      </c>
    </row>
    <row r="256" customFormat="false" ht="13.9" hidden="false" customHeight="true" outlineLevel="0" collapsed="false">
      <c r="A256" s="1" t="n">
        <v>5</v>
      </c>
      <c r="B256" s="1" t="n">
        <v>1</v>
      </c>
      <c r="D256" s="30"/>
      <c r="E256" s="10" t="n">
        <v>41</v>
      </c>
      <c r="F256" s="10" t="s">
        <v>23</v>
      </c>
      <c r="G256" s="11" t="n">
        <f aca="false">G264+G278+G287+G295</f>
        <v>21340.98</v>
      </c>
      <c r="H256" s="11" t="n">
        <f aca="false">H264+H278+H287+H295</f>
        <v>23146.41</v>
      </c>
      <c r="I256" s="11" t="n">
        <f aca="false">I264+I278+I287+I295</f>
        <v>20136</v>
      </c>
      <c r="J256" s="11" t="n">
        <f aca="false">J264+J278+J287+J295</f>
        <v>19349.34</v>
      </c>
      <c r="K256" s="11" t="n">
        <f aca="false">K264+K278+K287+K295</f>
        <v>27079</v>
      </c>
      <c r="L256" s="11" t="n">
        <f aca="false">L264+L278+L287+L295</f>
        <v>0</v>
      </c>
      <c r="M256" s="11" t="n">
        <f aca="false">M264+M278+M287+M295</f>
        <v>104</v>
      </c>
      <c r="N256" s="11" t="n">
        <f aca="false">N264+N278+N287+N295</f>
        <v>342</v>
      </c>
      <c r="O256" s="11" t="n">
        <f aca="false">O264+O278+O287+O295</f>
        <v>335</v>
      </c>
      <c r="P256" s="11" t="n">
        <f aca="false">P264+P278+P287+P295</f>
        <v>27860</v>
      </c>
      <c r="Q256" s="11" t="n">
        <f aca="false">Q264+Q278+Q287+Q295</f>
        <v>10399.72</v>
      </c>
      <c r="R256" s="12" t="n">
        <f aca="false">Q256/$P256</f>
        <v>0.373284996410625</v>
      </c>
      <c r="S256" s="11" t="n">
        <f aca="false">S264+S278+S287+S295</f>
        <v>15914.99</v>
      </c>
      <c r="T256" s="12" t="n">
        <f aca="false">S256/$P256</f>
        <v>0.571248743718593</v>
      </c>
      <c r="U256" s="11" t="n">
        <f aca="false">U264+U278+U287+U295</f>
        <v>21111.69</v>
      </c>
      <c r="V256" s="12" t="n">
        <f aca="false">U256/$P256</f>
        <v>0.757777817659727</v>
      </c>
      <c r="W256" s="11" t="n">
        <f aca="false">W264+W278+W287+W295</f>
        <v>27708.37</v>
      </c>
      <c r="X256" s="12" t="n">
        <f aca="false">W256/$P256</f>
        <v>0.994557430007179</v>
      </c>
      <c r="Y256" s="11" t="n">
        <f aca="false">Y264+Y278+Y287+Y295</f>
        <v>27079</v>
      </c>
      <c r="Z256" s="11" t="n">
        <f aca="false">Z264+Z278+Z287+Z295</f>
        <v>27079</v>
      </c>
    </row>
    <row r="257" customFormat="false" ht="13.9" hidden="false" customHeight="true" outlineLevel="0" collapsed="false">
      <c r="A257" s="1" t="n">
        <v>5</v>
      </c>
      <c r="B257" s="1" t="n">
        <v>1</v>
      </c>
      <c r="D257" s="30"/>
      <c r="E257" s="10" t="n">
        <v>71</v>
      </c>
      <c r="F257" s="10" t="s">
        <v>24</v>
      </c>
      <c r="G257" s="11" t="n">
        <f aca="false">G266</f>
        <v>1400</v>
      </c>
      <c r="H257" s="11" t="n">
        <f aca="false">H266</f>
        <v>1400</v>
      </c>
      <c r="I257" s="11" t="n">
        <f aca="false">I266</f>
        <v>3000</v>
      </c>
      <c r="J257" s="11" t="n">
        <f aca="false">J266</f>
        <v>3000</v>
      </c>
      <c r="K257" s="11" t="n">
        <f aca="false">K266</f>
        <v>3000</v>
      </c>
      <c r="L257" s="11" t="n">
        <f aca="false">L266</f>
        <v>0</v>
      </c>
      <c r="M257" s="11" t="n">
        <f aca="false">M266</f>
        <v>0</v>
      </c>
      <c r="N257" s="11" t="n">
        <f aca="false">N266</f>
        <v>0</v>
      </c>
      <c r="O257" s="11" t="n">
        <f aca="false">O266</f>
        <v>0</v>
      </c>
      <c r="P257" s="11" t="n">
        <f aca="false">P266</f>
        <v>3000</v>
      </c>
      <c r="Q257" s="11" t="n">
        <f aca="false">Q266</f>
        <v>0</v>
      </c>
      <c r="R257" s="12" t="n">
        <f aca="false">Q257/$P257</f>
        <v>0</v>
      </c>
      <c r="S257" s="11" t="n">
        <f aca="false">S266</f>
        <v>199.38</v>
      </c>
      <c r="T257" s="12" t="n">
        <f aca="false">S257/$P257</f>
        <v>0.06646</v>
      </c>
      <c r="U257" s="11" t="n">
        <f aca="false">U266</f>
        <v>3000</v>
      </c>
      <c r="V257" s="12" t="n">
        <f aca="false">U257/$P257</f>
        <v>1</v>
      </c>
      <c r="W257" s="11" t="n">
        <f aca="false">W266</f>
        <v>3000</v>
      </c>
      <c r="X257" s="12" t="n">
        <f aca="false">W257/$P257</f>
        <v>1</v>
      </c>
      <c r="Y257" s="11" t="n">
        <f aca="false">Y266</f>
        <v>3000</v>
      </c>
      <c r="Z257" s="11" t="n">
        <f aca="false">Z266</f>
        <v>3000</v>
      </c>
    </row>
    <row r="258" customFormat="false" ht="13.9" hidden="false" customHeight="true" outlineLevel="0" collapsed="false">
      <c r="A258" s="1" t="n">
        <v>5</v>
      </c>
      <c r="B258" s="1" t="n">
        <v>1</v>
      </c>
      <c r="D258" s="17"/>
      <c r="E258" s="18"/>
      <c r="F258" s="13" t="s">
        <v>122</v>
      </c>
      <c r="G258" s="14" t="n">
        <f aca="false">SUM(G255:G257)</f>
        <v>26153.55</v>
      </c>
      <c r="H258" s="14" t="n">
        <f aca="false">SUM(H255:H257)</f>
        <v>27619.9</v>
      </c>
      <c r="I258" s="14" t="n">
        <f aca="false">SUM(I255:I257)</f>
        <v>30063</v>
      </c>
      <c r="J258" s="14" t="n">
        <f aca="false">SUM(J255:J257)</f>
        <v>32236.15</v>
      </c>
      <c r="K258" s="14" t="n">
        <f aca="false">SUM(K255:K257)</f>
        <v>30380</v>
      </c>
      <c r="L258" s="14" t="n">
        <f aca="false">SUM(L255:L257)</f>
        <v>0</v>
      </c>
      <c r="M258" s="14" t="n">
        <f aca="false">SUM(M255:M257)</f>
        <v>104</v>
      </c>
      <c r="N258" s="14" t="n">
        <f aca="false">SUM(N255:N257)</f>
        <v>342</v>
      </c>
      <c r="O258" s="14" t="n">
        <f aca="false">SUM(O255:O257)</f>
        <v>346</v>
      </c>
      <c r="P258" s="14" t="n">
        <f aca="false">SUM(P255:P257)</f>
        <v>31172</v>
      </c>
      <c r="Q258" s="14" t="n">
        <f aca="false">SUM(Q255:Q257)</f>
        <v>10399.72</v>
      </c>
      <c r="R258" s="15" t="n">
        <f aca="false">Q258/$P258</f>
        <v>0.333623764917233</v>
      </c>
      <c r="S258" s="14" t="n">
        <f aca="false">SUM(S255:S257)</f>
        <v>16114.37</v>
      </c>
      <c r="T258" s="15" t="n">
        <f aca="false">S258/$P258</f>
        <v>0.516950147568331</v>
      </c>
      <c r="U258" s="14" t="n">
        <f aca="false">SUM(U255:U257)</f>
        <v>24111.69</v>
      </c>
      <c r="V258" s="15" t="n">
        <f aca="false">U258/$P258</f>
        <v>0.773504747850635</v>
      </c>
      <c r="W258" s="14" t="n">
        <f aca="false">SUM(W255:W257)</f>
        <v>31020.26</v>
      </c>
      <c r="X258" s="15" t="n">
        <f aca="false">W258/$P258</f>
        <v>0.995132169896061</v>
      </c>
      <c r="Y258" s="14" t="n">
        <f aca="false">SUM(Y255:Y257)</f>
        <v>30380</v>
      </c>
      <c r="Z258" s="14" t="n">
        <f aca="false">SUM(Z255:Z257)</f>
        <v>30380</v>
      </c>
    </row>
    <row r="260" customFormat="false" ht="13.9" hidden="false" customHeight="true" outlineLevel="0" collapsed="false">
      <c r="D260" s="60" t="s">
        <v>202</v>
      </c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1"/>
      <c r="S260" s="60"/>
      <c r="T260" s="61"/>
      <c r="U260" s="60"/>
      <c r="V260" s="61"/>
      <c r="W260" s="60"/>
      <c r="X260" s="61"/>
      <c r="Y260" s="60"/>
      <c r="Z260" s="60"/>
    </row>
    <row r="261" customFormat="false" ht="13.9" hidden="false" customHeight="true" outlineLevel="0" collapsed="false">
      <c r="D261" s="7" t="s">
        <v>33</v>
      </c>
      <c r="E261" s="7" t="s">
        <v>34</v>
      </c>
      <c r="F261" s="7" t="s">
        <v>35</v>
      </c>
      <c r="G261" s="7" t="s">
        <v>1</v>
      </c>
      <c r="H261" s="7" t="s">
        <v>2</v>
      </c>
      <c r="I261" s="7" t="s">
        <v>3</v>
      </c>
      <c r="J261" s="7" t="s">
        <v>4</v>
      </c>
      <c r="K261" s="7" t="s">
        <v>5</v>
      </c>
      <c r="L261" s="7" t="s">
        <v>6</v>
      </c>
      <c r="M261" s="7" t="s">
        <v>7</v>
      </c>
      <c r="N261" s="7" t="s">
        <v>8</v>
      </c>
      <c r="O261" s="7" t="s">
        <v>9</v>
      </c>
      <c r="P261" s="7" t="s">
        <v>10</v>
      </c>
      <c r="Q261" s="7" t="s">
        <v>11</v>
      </c>
      <c r="R261" s="8" t="s">
        <v>12</v>
      </c>
      <c r="S261" s="7" t="s">
        <v>13</v>
      </c>
      <c r="T261" s="8" t="s">
        <v>14</v>
      </c>
      <c r="U261" s="7" t="s">
        <v>15</v>
      </c>
      <c r="V261" s="8" t="s">
        <v>16</v>
      </c>
      <c r="W261" s="7" t="s">
        <v>17</v>
      </c>
      <c r="X261" s="8" t="s">
        <v>18</v>
      </c>
      <c r="Y261" s="7" t="s">
        <v>19</v>
      </c>
      <c r="Z261" s="7" t="s">
        <v>20</v>
      </c>
    </row>
    <row r="262" customFormat="false" ht="13.9" hidden="false" customHeight="true" outlineLevel="0" collapsed="false">
      <c r="A262" s="1" t="n">
        <v>5</v>
      </c>
      <c r="B262" s="1" t="n">
        <v>1</v>
      </c>
      <c r="C262" s="1" t="n">
        <v>1</v>
      </c>
      <c r="D262" s="74" t="s">
        <v>203</v>
      </c>
      <c r="E262" s="10" t="n">
        <v>630</v>
      </c>
      <c r="F262" s="10" t="s">
        <v>129</v>
      </c>
      <c r="G262" s="11" t="n">
        <v>1140.77</v>
      </c>
      <c r="H262" s="11" t="n">
        <v>2038.71</v>
      </c>
      <c r="I262" s="11" t="n">
        <v>1918</v>
      </c>
      <c r="J262" s="11" t="n">
        <v>1681.76</v>
      </c>
      <c r="K262" s="11" t="n">
        <v>1827</v>
      </c>
      <c r="L262" s="11"/>
      <c r="M262" s="11"/>
      <c r="N262" s="11" t="n">
        <v>342</v>
      </c>
      <c r="O262" s="11"/>
      <c r="P262" s="11" t="n">
        <f aca="false">K262+SUM(L262:O262)</f>
        <v>2169</v>
      </c>
      <c r="Q262" s="11" t="n">
        <v>161.11</v>
      </c>
      <c r="R262" s="12" t="n">
        <f aca="false">Q262/$P262</f>
        <v>0.07427846934071</v>
      </c>
      <c r="S262" s="11" t="n">
        <v>1019.74</v>
      </c>
      <c r="T262" s="12" t="n">
        <f aca="false">S262/$P262</f>
        <v>0.470142923005994</v>
      </c>
      <c r="U262" s="11" t="n">
        <v>1375</v>
      </c>
      <c r="V262" s="12" t="n">
        <f aca="false">U262/$P262</f>
        <v>0.633932687874597</v>
      </c>
      <c r="W262" s="11" t="n">
        <v>2106.09</v>
      </c>
      <c r="X262" s="12" t="n">
        <f aca="false">W262/$P262</f>
        <v>0.970995850622407</v>
      </c>
      <c r="Y262" s="11" t="n">
        <f aca="false">K262</f>
        <v>1827</v>
      </c>
      <c r="Z262" s="11" t="n">
        <f aca="false">Y262</f>
        <v>1827</v>
      </c>
    </row>
    <row r="263" customFormat="false" ht="13.9" hidden="false" customHeight="true" outlineLevel="0" collapsed="false">
      <c r="A263" s="1" t="n">
        <v>5</v>
      </c>
      <c r="B263" s="1" t="n">
        <v>1</v>
      </c>
      <c r="C263" s="1" t="n">
        <v>1</v>
      </c>
      <c r="D263" s="74"/>
      <c r="E263" s="10" t="n">
        <v>640</v>
      </c>
      <c r="F263" s="10" t="s">
        <v>130</v>
      </c>
      <c r="G263" s="11" t="n">
        <v>1920</v>
      </c>
      <c r="H263" s="33" t="n">
        <v>1420</v>
      </c>
      <c r="I263" s="33" t="n">
        <f aca="false">1420+1150</f>
        <v>2570</v>
      </c>
      <c r="J263" s="33" t="n">
        <v>2570</v>
      </c>
      <c r="K263" s="33" t="n">
        <v>6840</v>
      </c>
      <c r="L263" s="33"/>
      <c r="M263" s="33"/>
      <c r="N263" s="33"/>
      <c r="O263" s="33"/>
      <c r="P263" s="33" t="n">
        <f aca="false">K263+SUM(L263:O263)</f>
        <v>6840</v>
      </c>
      <c r="Q263" s="33" t="n">
        <v>6840</v>
      </c>
      <c r="R263" s="34" t="n">
        <f aca="false">Q263/$P263</f>
        <v>1</v>
      </c>
      <c r="S263" s="33" t="n">
        <v>6840</v>
      </c>
      <c r="T263" s="34" t="n">
        <f aca="false">S263/$P263</f>
        <v>1</v>
      </c>
      <c r="U263" s="33" t="n">
        <v>6840</v>
      </c>
      <c r="V263" s="34" t="n">
        <f aca="false">U263/$P263</f>
        <v>1</v>
      </c>
      <c r="W263" s="33" t="n">
        <v>6840</v>
      </c>
      <c r="X263" s="34" t="n">
        <f aca="false">W263/$P263</f>
        <v>1</v>
      </c>
      <c r="Y263" s="11" t="n">
        <f aca="false">K263</f>
        <v>6840</v>
      </c>
      <c r="Z263" s="11" t="n">
        <f aca="false">Y263</f>
        <v>6840</v>
      </c>
    </row>
    <row r="264" customFormat="false" ht="13.9" hidden="false" customHeight="true" outlineLevel="0" collapsed="false">
      <c r="A264" s="1" t="n">
        <v>5</v>
      </c>
      <c r="B264" s="1" t="n">
        <v>1</v>
      </c>
      <c r="C264" s="1" t="n">
        <v>1</v>
      </c>
      <c r="D264" s="75" t="s">
        <v>21</v>
      </c>
      <c r="E264" s="35" t="n">
        <v>41</v>
      </c>
      <c r="F264" s="35" t="s">
        <v>23</v>
      </c>
      <c r="G264" s="36" t="n">
        <f aca="false">SUM(G262:G263)</f>
        <v>3060.77</v>
      </c>
      <c r="H264" s="36" t="n">
        <f aca="false">SUM(H262:H263)</f>
        <v>3458.71</v>
      </c>
      <c r="I264" s="36" t="n">
        <f aca="false">SUM(I262:I263)</f>
        <v>4488</v>
      </c>
      <c r="J264" s="36" t="n">
        <f aca="false">SUM(J262:J263)</f>
        <v>4251.76</v>
      </c>
      <c r="K264" s="36" t="n">
        <f aca="false">SUM(K262:K263)</f>
        <v>8667</v>
      </c>
      <c r="L264" s="36" t="n">
        <f aca="false">SUM(L262:L263)</f>
        <v>0</v>
      </c>
      <c r="M264" s="36" t="n">
        <f aca="false">SUM(M262:M263)</f>
        <v>0</v>
      </c>
      <c r="N264" s="36" t="n">
        <f aca="false">SUM(N262:N263)</f>
        <v>342</v>
      </c>
      <c r="O264" s="36" t="n">
        <f aca="false">SUM(O262:O263)</f>
        <v>0</v>
      </c>
      <c r="P264" s="36" t="n">
        <f aca="false">SUM(P262:P263)</f>
        <v>9009</v>
      </c>
      <c r="Q264" s="36" t="n">
        <f aca="false">SUM(Q262:Q263)</f>
        <v>7001.11</v>
      </c>
      <c r="R264" s="37" t="n">
        <f aca="false">Q264/$P264</f>
        <v>0.777123987123987</v>
      </c>
      <c r="S264" s="36" t="n">
        <f aca="false">SUM(S262:S263)</f>
        <v>7859.74</v>
      </c>
      <c r="T264" s="37" t="n">
        <f aca="false">S264/$P264</f>
        <v>0.872432012432012</v>
      </c>
      <c r="U264" s="36" t="n">
        <f aca="false">SUM(U262:U263)</f>
        <v>8215</v>
      </c>
      <c r="V264" s="37" t="n">
        <f aca="false">U264/$P264</f>
        <v>0.911865911865912</v>
      </c>
      <c r="W264" s="36" t="n">
        <f aca="false">SUM(W262:W263)</f>
        <v>8946.09</v>
      </c>
      <c r="X264" s="37" t="n">
        <f aca="false">W264/$P264</f>
        <v>0.993016983016983</v>
      </c>
      <c r="Y264" s="36" t="n">
        <f aca="false">SUM(Y262:Y263)</f>
        <v>8667</v>
      </c>
      <c r="Z264" s="36" t="n">
        <f aca="false">SUM(Z262:Z263)</f>
        <v>8667</v>
      </c>
    </row>
    <row r="265" customFormat="false" ht="13.9" hidden="false" customHeight="true" outlineLevel="0" collapsed="false">
      <c r="A265" s="1" t="n">
        <v>5</v>
      </c>
      <c r="B265" s="1" t="n">
        <v>1</v>
      </c>
      <c r="C265" s="1" t="n">
        <v>1</v>
      </c>
      <c r="D265" s="68" t="s">
        <v>203</v>
      </c>
      <c r="E265" s="10" t="n">
        <v>630</v>
      </c>
      <c r="F265" s="10" t="s">
        <v>129</v>
      </c>
      <c r="G265" s="11" t="n">
        <v>1400</v>
      </c>
      <c r="H265" s="11" t="n">
        <v>1400</v>
      </c>
      <c r="I265" s="11" t="n">
        <f aca="false">príjmy!F122</f>
        <v>3000</v>
      </c>
      <c r="J265" s="11" t="n">
        <v>3000</v>
      </c>
      <c r="K265" s="11" t="n">
        <v>3000</v>
      </c>
      <c r="L265" s="11"/>
      <c r="M265" s="11"/>
      <c r="N265" s="11"/>
      <c r="O265" s="11"/>
      <c r="P265" s="11" t="n">
        <f aca="false">K265+SUM(L265:O265)</f>
        <v>3000</v>
      </c>
      <c r="Q265" s="11" t="n">
        <v>0</v>
      </c>
      <c r="R265" s="12" t="n">
        <f aca="false">Q265/$P265</f>
        <v>0</v>
      </c>
      <c r="S265" s="11" t="n">
        <v>199.38</v>
      </c>
      <c r="T265" s="12" t="n">
        <f aca="false">S265/$P265</f>
        <v>0.06646</v>
      </c>
      <c r="U265" s="11" t="n">
        <v>3000</v>
      </c>
      <c r="V265" s="12" t="n">
        <f aca="false">U265/$P265</f>
        <v>1</v>
      </c>
      <c r="W265" s="11" t="n">
        <v>3000</v>
      </c>
      <c r="X265" s="12" t="n">
        <f aca="false">W265/$P265</f>
        <v>1</v>
      </c>
      <c r="Y265" s="11" t="n">
        <f aca="false">príjmy!V122</f>
        <v>3000</v>
      </c>
      <c r="Z265" s="11" t="n">
        <f aca="false">príjmy!W122</f>
        <v>3000</v>
      </c>
    </row>
    <row r="266" customFormat="false" ht="13.9" hidden="false" customHeight="true" outlineLevel="0" collapsed="false">
      <c r="A266" s="1" t="n">
        <v>5</v>
      </c>
      <c r="B266" s="1" t="n">
        <v>1</v>
      </c>
      <c r="C266" s="1" t="n">
        <v>1</v>
      </c>
      <c r="D266" s="75" t="s">
        <v>21</v>
      </c>
      <c r="E266" s="35" t="n">
        <v>71</v>
      </c>
      <c r="F266" s="35" t="s">
        <v>24</v>
      </c>
      <c r="G266" s="36" t="n">
        <f aca="false">SUM(G265:G265)</f>
        <v>1400</v>
      </c>
      <c r="H266" s="36" t="n">
        <f aca="false">SUM(H265:H265)</f>
        <v>1400</v>
      </c>
      <c r="I266" s="36" t="n">
        <f aca="false">SUM(I265:I265)</f>
        <v>3000</v>
      </c>
      <c r="J266" s="36" t="n">
        <f aca="false">SUM(J265:J265)</f>
        <v>3000</v>
      </c>
      <c r="K266" s="36" t="n">
        <f aca="false">SUM(K265:K265)</f>
        <v>3000</v>
      </c>
      <c r="L266" s="36" t="n">
        <f aca="false">SUM(L265:L265)</f>
        <v>0</v>
      </c>
      <c r="M266" s="36" t="n">
        <f aca="false">SUM(M265:M265)</f>
        <v>0</v>
      </c>
      <c r="N266" s="36" t="n">
        <f aca="false">SUM(N265:N265)</f>
        <v>0</v>
      </c>
      <c r="O266" s="36" t="n">
        <f aca="false">SUM(O265:O265)</f>
        <v>0</v>
      </c>
      <c r="P266" s="36" t="n">
        <f aca="false">SUM(P265:P265)</f>
        <v>3000</v>
      </c>
      <c r="Q266" s="36" t="n">
        <f aca="false">SUM(Q265:Q265)</f>
        <v>0</v>
      </c>
      <c r="R266" s="37" t="n">
        <f aca="false">Q266/$P266</f>
        <v>0</v>
      </c>
      <c r="S266" s="36" t="n">
        <f aca="false">SUM(S265:S265)</f>
        <v>199.38</v>
      </c>
      <c r="T266" s="37" t="n">
        <f aca="false">S266/$P266</f>
        <v>0.06646</v>
      </c>
      <c r="U266" s="36" t="n">
        <f aca="false">SUM(U265:U265)</f>
        <v>3000</v>
      </c>
      <c r="V266" s="37" t="n">
        <f aca="false">U266/$P266</f>
        <v>1</v>
      </c>
      <c r="W266" s="36" t="n">
        <f aca="false">SUM(W265:W265)</f>
        <v>3000</v>
      </c>
      <c r="X266" s="37" t="n">
        <f aca="false">W266/$P266</f>
        <v>1</v>
      </c>
      <c r="Y266" s="36" t="n">
        <f aca="false">SUM(Y265:Y265)</f>
        <v>3000</v>
      </c>
      <c r="Z266" s="36" t="n">
        <f aca="false">SUM(Z265:Z265)</f>
        <v>3000</v>
      </c>
    </row>
    <row r="267" customFormat="false" ht="13.9" hidden="false" customHeight="true" outlineLevel="0" collapsed="false">
      <c r="A267" s="1" t="n">
        <v>5</v>
      </c>
      <c r="B267" s="1" t="n">
        <v>1</v>
      </c>
      <c r="C267" s="1" t="n">
        <v>1</v>
      </c>
      <c r="D267" s="102"/>
      <c r="E267" s="18"/>
      <c r="F267" s="13" t="s">
        <v>122</v>
      </c>
      <c r="G267" s="14" t="n">
        <f aca="false">G264+G266</f>
        <v>4460.77</v>
      </c>
      <c r="H267" s="14" t="n">
        <f aca="false">H264+H266</f>
        <v>4858.71</v>
      </c>
      <c r="I267" s="14" t="n">
        <f aca="false">I264+I266</f>
        <v>7488</v>
      </c>
      <c r="J267" s="14" t="n">
        <f aca="false">J264+J266</f>
        <v>7251.76</v>
      </c>
      <c r="K267" s="14" t="n">
        <f aca="false">K264+K266</f>
        <v>11667</v>
      </c>
      <c r="L267" s="14" t="n">
        <f aca="false">L264+L266</f>
        <v>0</v>
      </c>
      <c r="M267" s="14" t="n">
        <f aca="false">M264+M266</f>
        <v>0</v>
      </c>
      <c r="N267" s="14" t="n">
        <f aca="false">N264+N266</f>
        <v>342</v>
      </c>
      <c r="O267" s="14" t="n">
        <f aca="false">O264+O266</f>
        <v>0</v>
      </c>
      <c r="P267" s="14" t="n">
        <f aca="false">P264+P266</f>
        <v>12009</v>
      </c>
      <c r="Q267" s="14" t="n">
        <f aca="false">Q264+Q266</f>
        <v>7001.11</v>
      </c>
      <c r="R267" s="15" t="n">
        <f aca="false">Q267/$P267</f>
        <v>0.582988591889416</v>
      </c>
      <c r="S267" s="14" t="n">
        <f aca="false">S264+S266</f>
        <v>8059.12</v>
      </c>
      <c r="T267" s="15" t="n">
        <f aca="false">S267/$P267</f>
        <v>0.671090015821467</v>
      </c>
      <c r="U267" s="14" t="n">
        <f aca="false">U264+U266</f>
        <v>11215</v>
      </c>
      <c r="V267" s="15" t="n">
        <f aca="false">U267/$P267</f>
        <v>0.933882921142477</v>
      </c>
      <c r="W267" s="14" t="n">
        <f aca="false">W264+W266</f>
        <v>11946.09</v>
      </c>
      <c r="X267" s="15" t="n">
        <f aca="false">W267/$P267</f>
        <v>0.994761428928304</v>
      </c>
      <c r="Y267" s="14" t="n">
        <f aca="false">Y264+Y266</f>
        <v>11667</v>
      </c>
      <c r="Z267" s="14" t="n">
        <f aca="false">Z264+Z266</f>
        <v>11667</v>
      </c>
    </row>
    <row r="269" customFormat="false" ht="13.9" hidden="false" customHeight="true" outlineLevel="0" collapsed="false">
      <c r="E269" s="100" t="s">
        <v>57</v>
      </c>
      <c r="F269" s="106" t="s">
        <v>147</v>
      </c>
      <c r="G269" s="107" t="n">
        <v>979</v>
      </c>
      <c r="H269" s="107" t="n">
        <v>803</v>
      </c>
      <c r="I269" s="108" t="n">
        <v>242</v>
      </c>
      <c r="J269" s="108" t="n">
        <v>242</v>
      </c>
      <c r="K269" s="108" t="n">
        <v>265</v>
      </c>
      <c r="L269" s="108"/>
      <c r="M269" s="108"/>
      <c r="N269" s="108" t="n">
        <v>42</v>
      </c>
      <c r="O269" s="108"/>
      <c r="P269" s="108" t="n">
        <f aca="false">K269+SUM(L269:O269)</f>
        <v>307</v>
      </c>
      <c r="Q269" s="108" t="n">
        <v>56</v>
      </c>
      <c r="R269" s="109" t="n">
        <f aca="false">Q269/$P269</f>
        <v>0.182410423452769</v>
      </c>
      <c r="S269" s="108" t="n">
        <v>140</v>
      </c>
      <c r="T269" s="109" t="n">
        <f aca="false">S269/$P269</f>
        <v>0.456026058631922</v>
      </c>
      <c r="U269" s="108" t="n">
        <v>224</v>
      </c>
      <c r="V269" s="109" t="n">
        <f aca="false">U269/$P269</f>
        <v>0.729641693811075</v>
      </c>
      <c r="W269" s="108" t="n">
        <v>308</v>
      </c>
      <c r="X269" s="110" t="n">
        <f aca="false">W269/$P269</f>
        <v>1.00325732899023</v>
      </c>
      <c r="Y269" s="108" t="n">
        <f aca="false">K269</f>
        <v>265</v>
      </c>
      <c r="Z269" s="111" t="n">
        <f aca="false">Y269</f>
        <v>265</v>
      </c>
    </row>
    <row r="271" customFormat="false" ht="13.9" hidden="false" customHeight="true" outlineLevel="0" collapsed="false">
      <c r="D271" s="60" t="s">
        <v>204</v>
      </c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1"/>
      <c r="S271" s="60"/>
      <c r="T271" s="61"/>
      <c r="U271" s="60"/>
      <c r="V271" s="61"/>
      <c r="W271" s="60"/>
      <c r="X271" s="61"/>
      <c r="Y271" s="60"/>
      <c r="Z271" s="60"/>
    </row>
    <row r="272" customFormat="false" ht="13.9" hidden="false" customHeight="true" outlineLevel="0" collapsed="false">
      <c r="D272" s="7" t="s">
        <v>33</v>
      </c>
      <c r="E272" s="7" t="s">
        <v>34</v>
      </c>
      <c r="F272" s="7" t="s">
        <v>35</v>
      </c>
      <c r="G272" s="7" t="s">
        <v>1</v>
      </c>
      <c r="H272" s="7" t="s">
        <v>2</v>
      </c>
      <c r="I272" s="7" t="s">
        <v>3</v>
      </c>
      <c r="J272" s="7" t="s">
        <v>4</v>
      </c>
      <c r="K272" s="7" t="s">
        <v>5</v>
      </c>
      <c r="L272" s="7" t="s">
        <v>6</v>
      </c>
      <c r="M272" s="7" t="s">
        <v>7</v>
      </c>
      <c r="N272" s="7" t="s">
        <v>8</v>
      </c>
      <c r="O272" s="7" t="s">
        <v>9</v>
      </c>
      <c r="P272" s="7" t="s">
        <v>10</v>
      </c>
      <c r="Q272" s="7" t="s">
        <v>11</v>
      </c>
      <c r="R272" s="8" t="s">
        <v>12</v>
      </c>
      <c r="S272" s="7" t="s">
        <v>13</v>
      </c>
      <c r="T272" s="8" t="s">
        <v>14</v>
      </c>
      <c r="U272" s="7" t="s">
        <v>15</v>
      </c>
      <c r="V272" s="8" t="s">
        <v>16</v>
      </c>
      <c r="W272" s="7" t="s">
        <v>17</v>
      </c>
      <c r="X272" s="8" t="s">
        <v>18</v>
      </c>
      <c r="Y272" s="7" t="s">
        <v>19</v>
      </c>
      <c r="Z272" s="7" t="s">
        <v>20</v>
      </c>
    </row>
    <row r="273" customFormat="false" ht="13.9" hidden="false" customHeight="true" outlineLevel="0" collapsed="false">
      <c r="A273" s="1" t="n">
        <v>5</v>
      </c>
      <c r="B273" s="1" t="n">
        <v>1</v>
      </c>
      <c r="C273" s="1" t="n">
        <v>2</v>
      </c>
      <c r="D273" s="38" t="s">
        <v>205</v>
      </c>
      <c r="E273" s="10" t="n">
        <v>610</v>
      </c>
      <c r="F273" s="10" t="s">
        <v>127</v>
      </c>
      <c r="G273" s="11" t="n">
        <v>213.96</v>
      </c>
      <c r="H273" s="11" t="n">
        <v>0</v>
      </c>
      <c r="I273" s="11" t="n">
        <v>0</v>
      </c>
      <c r="J273" s="11" t="n">
        <v>222.86</v>
      </c>
      <c r="K273" s="11" t="n">
        <v>223</v>
      </c>
      <c r="L273" s="11"/>
      <c r="M273" s="11"/>
      <c r="N273" s="11"/>
      <c r="O273" s="11" t="n">
        <v>8</v>
      </c>
      <c r="P273" s="11" t="n">
        <f aca="false">K273+SUM(L273:O273)</f>
        <v>231</v>
      </c>
      <c r="Q273" s="11" t="n">
        <v>0</v>
      </c>
      <c r="R273" s="12" t="n">
        <f aca="false">Q273/$P273</f>
        <v>0</v>
      </c>
      <c r="S273" s="11" t="n">
        <v>0</v>
      </c>
      <c r="T273" s="12" t="n">
        <f aca="false">S273/$P273</f>
        <v>0</v>
      </c>
      <c r="U273" s="11" t="n">
        <v>0</v>
      </c>
      <c r="V273" s="12" t="n">
        <f aca="false">U273/$P273</f>
        <v>0</v>
      </c>
      <c r="W273" s="11" t="n">
        <v>231.15</v>
      </c>
      <c r="X273" s="12" t="n">
        <f aca="false">W273/$P273</f>
        <v>1.00064935064935</v>
      </c>
      <c r="Y273" s="11" t="n">
        <f aca="false">K273</f>
        <v>223</v>
      </c>
      <c r="Z273" s="11" t="n">
        <f aca="false">Y273</f>
        <v>223</v>
      </c>
    </row>
    <row r="274" customFormat="false" ht="13.9" hidden="false" customHeight="true" outlineLevel="0" collapsed="false">
      <c r="A274" s="1" t="n">
        <v>5</v>
      </c>
      <c r="B274" s="1" t="n">
        <v>1</v>
      </c>
      <c r="C274" s="1" t="n">
        <v>2</v>
      </c>
      <c r="D274" s="38" t="s">
        <v>205</v>
      </c>
      <c r="E274" s="10" t="n">
        <v>620</v>
      </c>
      <c r="F274" s="10" t="s">
        <v>128</v>
      </c>
      <c r="G274" s="11" t="n">
        <v>136.21</v>
      </c>
      <c r="H274" s="11" t="n">
        <v>68.73</v>
      </c>
      <c r="I274" s="11" t="n">
        <v>69</v>
      </c>
      <c r="J274" s="11" t="n">
        <v>77.86</v>
      </c>
      <c r="K274" s="11" t="n">
        <v>78</v>
      </c>
      <c r="L274" s="11"/>
      <c r="M274" s="11"/>
      <c r="N274" s="11"/>
      <c r="O274" s="11" t="n">
        <v>3</v>
      </c>
      <c r="P274" s="11" t="n">
        <f aca="false">K274+SUM(L274:O274)</f>
        <v>81</v>
      </c>
      <c r="Q274" s="11" t="n">
        <v>0</v>
      </c>
      <c r="R274" s="12" t="n">
        <f aca="false">Q274/$P274</f>
        <v>0</v>
      </c>
      <c r="S274" s="11" t="n">
        <v>0</v>
      </c>
      <c r="T274" s="12" t="n">
        <f aca="false">S274/$P274</f>
        <v>0</v>
      </c>
      <c r="U274" s="11" t="n">
        <v>0</v>
      </c>
      <c r="V274" s="12" t="n">
        <f aca="false">U274/$P274</f>
        <v>0</v>
      </c>
      <c r="W274" s="11" t="n">
        <v>80.74</v>
      </c>
      <c r="X274" s="12" t="n">
        <f aca="false">W274/$P274</f>
        <v>0.99679012345679</v>
      </c>
      <c r="Y274" s="11" t="n">
        <f aca="false">K274</f>
        <v>78</v>
      </c>
      <c r="Z274" s="11" t="n">
        <f aca="false">Y274</f>
        <v>78</v>
      </c>
    </row>
    <row r="275" customFormat="false" ht="13.9" hidden="true" customHeight="true" outlineLevel="0" collapsed="false">
      <c r="A275" s="1" t="n">
        <v>5</v>
      </c>
      <c r="B275" s="1" t="n">
        <v>1</v>
      </c>
      <c r="C275" s="1" t="n">
        <v>2</v>
      </c>
      <c r="D275" s="38" t="s">
        <v>205</v>
      </c>
      <c r="E275" s="10" t="n">
        <v>630</v>
      </c>
      <c r="F275" s="10" t="s">
        <v>129</v>
      </c>
      <c r="G275" s="11" t="n">
        <v>3062.4</v>
      </c>
      <c r="H275" s="11" t="n">
        <v>3004.76</v>
      </c>
      <c r="I275" s="11" t="n">
        <f aca="false">príjmy!F113-I274</f>
        <v>6858</v>
      </c>
      <c r="J275" s="11" t="n">
        <v>9586.09</v>
      </c>
      <c r="K275" s="11" t="n">
        <v>0</v>
      </c>
      <c r="L275" s="11"/>
      <c r="M275" s="11"/>
      <c r="N275" s="11"/>
      <c r="O275" s="11"/>
      <c r="P275" s="11" t="n">
        <f aca="false">K275+SUM(L275:O275)</f>
        <v>0</v>
      </c>
      <c r="Q275" s="11" t="n">
        <v>0</v>
      </c>
      <c r="R275" s="12" t="e">
        <f aca="false">Q275/$P275</f>
        <v>#DIV/0!</v>
      </c>
      <c r="S275" s="11" t="n">
        <v>0</v>
      </c>
      <c r="T275" s="12" t="e">
        <f aca="false">S275/$P275</f>
        <v>#DIV/0!</v>
      </c>
      <c r="U275" s="11" t="n">
        <v>0</v>
      </c>
      <c r="V275" s="12" t="e">
        <f aca="false">U275/$P275</f>
        <v>#DIV/0!</v>
      </c>
      <c r="W275" s="11" t="n">
        <v>0</v>
      </c>
      <c r="X275" s="12" t="e">
        <f aca="false">W275/$P275</f>
        <v>#DIV/0!</v>
      </c>
      <c r="Y275" s="11" t="n">
        <f aca="false">K275</f>
        <v>0</v>
      </c>
      <c r="Z275" s="11" t="n">
        <f aca="false">Y275</f>
        <v>0</v>
      </c>
    </row>
    <row r="276" customFormat="false" ht="13.9" hidden="false" customHeight="true" outlineLevel="0" collapsed="false">
      <c r="A276" s="1" t="n">
        <v>5</v>
      </c>
      <c r="B276" s="1" t="n">
        <v>1</v>
      </c>
      <c r="C276" s="1" t="n">
        <v>2</v>
      </c>
      <c r="D276" s="75" t="s">
        <v>21</v>
      </c>
      <c r="E276" s="35" t="n">
        <v>111</v>
      </c>
      <c r="F276" s="35" t="s">
        <v>132</v>
      </c>
      <c r="G276" s="36" t="n">
        <f aca="false">SUM(G273:G275)</f>
        <v>3412.57</v>
      </c>
      <c r="H276" s="36" t="n">
        <f aca="false">SUM(H273:H275)</f>
        <v>3073.49</v>
      </c>
      <c r="I276" s="36" t="n">
        <f aca="false">SUM(I273:I275)</f>
        <v>6927</v>
      </c>
      <c r="J276" s="36" t="n">
        <f aca="false">SUM(J273:J275)</f>
        <v>9886.81</v>
      </c>
      <c r="K276" s="36" t="n">
        <f aca="false">SUM(K273:K275)</f>
        <v>301</v>
      </c>
      <c r="L276" s="36" t="n">
        <f aca="false">SUM(L273:L275)</f>
        <v>0</v>
      </c>
      <c r="M276" s="36" t="n">
        <f aca="false">SUM(M273:M275)</f>
        <v>0</v>
      </c>
      <c r="N276" s="36" t="n">
        <f aca="false">SUM(N273:N275)</f>
        <v>0</v>
      </c>
      <c r="O276" s="36" t="n">
        <f aca="false">SUM(O273:O275)</f>
        <v>11</v>
      </c>
      <c r="P276" s="36" t="n">
        <f aca="false">SUM(P273:P275)</f>
        <v>312</v>
      </c>
      <c r="Q276" s="36" t="n">
        <f aca="false">SUM(Q273:Q275)</f>
        <v>0</v>
      </c>
      <c r="R276" s="37" t="n">
        <f aca="false">Q276/$P276</f>
        <v>0</v>
      </c>
      <c r="S276" s="36" t="n">
        <f aca="false">SUM(S273:S275)</f>
        <v>0</v>
      </c>
      <c r="T276" s="37" t="n">
        <f aca="false">S276/$P276</f>
        <v>0</v>
      </c>
      <c r="U276" s="36" t="n">
        <f aca="false">SUM(U273:U275)</f>
        <v>0</v>
      </c>
      <c r="V276" s="37" t="n">
        <f aca="false">U276/$P276</f>
        <v>0</v>
      </c>
      <c r="W276" s="36" t="n">
        <f aca="false">SUM(W273:W275)</f>
        <v>311.89</v>
      </c>
      <c r="X276" s="37" t="n">
        <f aca="false">W276/$P276</f>
        <v>0.999647435897436</v>
      </c>
      <c r="Y276" s="36" t="n">
        <f aca="false">SUM(Y273:Y275)</f>
        <v>301</v>
      </c>
      <c r="Z276" s="36" t="n">
        <f aca="false">SUM(Z273:Z275)</f>
        <v>301</v>
      </c>
    </row>
    <row r="277" customFormat="false" ht="13.9" hidden="true" customHeight="true" outlineLevel="0" collapsed="false">
      <c r="A277" s="1" t="n">
        <v>5</v>
      </c>
      <c r="B277" s="1" t="n">
        <v>1</v>
      </c>
      <c r="C277" s="1" t="n">
        <v>2</v>
      </c>
      <c r="D277" s="74" t="s">
        <v>205</v>
      </c>
      <c r="E277" s="10" t="n">
        <v>630</v>
      </c>
      <c r="F277" s="10" t="s">
        <v>129</v>
      </c>
      <c r="G277" s="11" t="n">
        <v>0</v>
      </c>
      <c r="H277" s="11" t="n">
        <v>3272</v>
      </c>
      <c r="I277" s="11" t="n">
        <v>1500</v>
      </c>
      <c r="J277" s="11" t="n">
        <v>0</v>
      </c>
      <c r="K277" s="11" t="n">
        <v>0</v>
      </c>
      <c r="L277" s="11"/>
      <c r="M277" s="11"/>
      <c r="N277" s="11"/>
      <c r="O277" s="11"/>
      <c r="P277" s="11" t="n">
        <f aca="false">K277+SUM(L277:O277)</f>
        <v>0</v>
      </c>
      <c r="Q277" s="11" t="n">
        <v>0</v>
      </c>
      <c r="R277" s="12" t="e">
        <f aca="false">Q277/$P277</f>
        <v>#DIV/0!</v>
      </c>
      <c r="S277" s="11" t="n">
        <v>0</v>
      </c>
      <c r="T277" s="12" t="e">
        <f aca="false">S277/$P277</f>
        <v>#DIV/0!</v>
      </c>
      <c r="U277" s="11" t="n">
        <v>0</v>
      </c>
      <c r="V277" s="12" t="e">
        <f aca="false">U277/$P277</f>
        <v>#DIV/0!</v>
      </c>
      <c r="W277" s="11" t="n">
        <v>0</v>
      </c>
      <c r="X277" s="12" t="e">
        <f aca="false">W277/$P277</f>
        <v>#DIV/0!</v>
      </c>
      <c r="Y277" s="11" t="n">
        <v>0</v>
      </c>
      <c r="Z277" s="11" t="n">
        <f aca="false">Y277</f>
        <v>0</v>
      </c>
    </row>
    <row r="278" customFormat="false" ht="13.9" hidden="true" customHeight="true" outlineLevel="0" collapsed="false">
      <c r="A278" s="1" t="n">
        <v>5</v>
      </c>
      <c r="B278" s="1" t="n">
        <v>1</v>
      </c>
      <c r="C278" s="1" t="n">
        <v>2</v>
      </c>
      <c r="D278" s="75" t="s">
        <v>21</v>
      </c>
      <c r="E278" s="35" t="n">
        <v>41</v>
      </c>
      <c r="F278" s="35" t="s">
        <v>23</v>
      </c>
      <c r="G278" s="36" t="n">
        <f aca="false">SUM(G277:G277)</f>
        <v>0</v>
      </c>
      <c r="H278" s="36" t="n">
        <f aca="false">SUM(H277:H277)</f>
        <v>3272</v>
      </c>
      <c r="I278" s="36" t="n">
        <f aca="false">SUM(I277)</f>
        <v>1500</v>
      </c>
      <c r="J278" s="36" t="n">
        <f aca="false">SUM(J277)</f>
        <v>0</v>
      </c>
      <c r="K278" s="36" t="n">
        <f aca="false">SUM(K277)</f>
        <v>0</v>
      </c>
      <c r="L278" s="36" t="n">
        <f aca="false">SUM(L277)</f>
        <v>0</v>
      </c>
      <c r="M278" s="36" t="n">
        <f aca="false">SUM(M277)</f>
        <v>0</v>
      </c>
      <c r="N278" s="36" t="n">
        <f aca="false">SUM(N277)</f>
        <v>0</v>
      </c>
      <c r="O278" s="36" t="n">
        <f aca="false">SUM(O277)</f>
        <v>0</v>
      </c>
      <c r="P278" s="36" t="n">
        <f aca="false">SUM(P277)</f>
        <v>0</v>
      </c>
      <c r="Q278" s="36" t="n">
        <f aca="false">SUM(Q277)</f>
        <v>0</v>
      </c>
      <c r="R278" s="37" t="e">
        <f aca="false">Q278/$P278</f>
        <v>#DIV/0!</v>
      </c>
      <c r="S278" s="36" t="n">
        <f aca="false">SUM(S277)</f>
        <v>0</v>
      </c>
      <c r="T278" s="37" t="e">
        <f aca="false">S278/$P278</f>
        <v>#DIV/0!</v>
      </c>
      <c r="U278" s="36" t="n">
        <f aca="false">SUM(U277)</f>
        <v>0</v>
      </c>
      <c r="V278" s="37" t="e">
        <f aca="false">U278/$P278</f>
        <v>#DIV/0!</v>
      </c>
      <c r="W278" s="36" t="n">
        <f aca="false">SUM(W277)</f>
        <v>0</v>
      </c>
      <c r="X278" s="37" t="e">
        <f aca="false">W278/$P278</f>
        <v>#DIV/0!</v>
      </c>
      <c r="Y278" s="36" t="n">
        <f aca="false">SUM(Y277:Y277)</f>
        <v>0</v>
      </c>
      <c r="Z278" s="36" t="n">
        <f aca="false">SUM(Z277:Z277)</f>
        <v>0</v>
      </c>
    </row>
    <row r="279" customFormat="false" ht="13.9" hidden="false" customHeight="true" outlineLevel="0" collapsed="false">
      <c r="A279" s="1" t="n">
        <v>5</v>
      </c>
      <c r="B279" s="1" t="n">
        <v>1</v>
      </c>
      <c r="C279" s="1" t="n">
        <v>2</v>
      </c>
      <c r="D279" s="17"/>
      <c r="E279" s="18"/>
      <c r="F279" s="13" t="s">
        <v>122</v>
      </c>
      <c r="G279" s="14" t="n">
        <f aca="false">G276+G278</f>
        <v>3412.57</v>
      </c>
      <c r="H279" s="14" t="n">
        <f aca="false">H276+H278</f>
        <v>6345.49</v>
      </c>
      <c r="I279" s="14" t="n">
        <f aca="false">I276+I278</f>
        <v>8427</v>
      </c>
      <c r="J279" s="14" t="n">
        <f aca="false">J276+J278</f>
        <v>9886.81</v>
      </c>
      <c r="K279" s="14" t="n">
        <f aca="false">K276+K278</f>
        <v>301</v>
      </c>
      <c r="L279" s="14" t="n">
        <f aca="false">L276+L278</f>
        <v>0</v>
      </c>
      <c r="M279" s="14" t="n">
        <f aca="false">M276+M278</f>
        <v>0</v>
      </c>
      <c r="N279" s="14" t="n">
        <f aca="false">N276+N278</f>
        <v>0</v>
      </c>
      <c r="O279" s="14" t="n">
        <f aca="false">O276+O278</f>
        <v>11</v>
      </c>
      <c r="P279" s="14" t="n">
        <f aca="false">P276+P278</f>
        <v>312</v>
      </c>
      <c r="Q279" s="14" t="n">
        <f aca="false">Q276+Q278</f>
        <v>0</v>
      </c>
      <c r="R279" s="15" t="n">
        <f aca="false">Q279/$P279</f>
        <v>0</v>
      </c>
      <c r="S279" s="14" t="n">
        <f aca="false">S276+S278</f>
        <v>0</v>
      </c>
      <c r="T279" s="15" t="n">
        <f aca="false">S279/$P279</f>
        <v>0</v>
      </c>
      <c r="U279" s="14" t="n">
        <f aca="false">U276+U278</f>
        <v>0</v>
      </c>
      <c r="V279" s="15" t="n">
        <f aca="false">U279/$P279</f>
        <v>0</v>
      </c>
      <c r="W279" s="14" t="n">
        <f aca="false">W276+W278</f>
        <v>311.89</v>
      </c>
      <c r="X279" s="15" t="n">
        <f aca="false">W279/$P279</f>
        <v>0.999647435897436</v>
      </c>
      <c r="Y279" s="14" t="n">
        <f aca="false">Y276+Y278</f>
        <v>301</v>
      </c>
      <c r="Z279" s="14" t="n">
        <f aca="false">Z276+Z278</f>
        <v>301</v>
      </c>
    </row>
    <row r="280" customFormat="false" ht="13.9" hidden="true" customHeight="true" outlineLevel="0" collapsed="false"/>
    <row r="281" customFormat="false" ht="13.9" hidden="true" customHeight="true" outlineLevel="0" collapsed="false">
      <c r="E281" s="100" t="s">
        <v>57</v>
      </c>
      <c r="F281" s="106" t="s">
        <v>206</v>
      </c>
      <c r="G281" s="107" t="n">
        <v>3161.48</v>
      </c>
      <c r="H281" s="107"/>
      <c r="I281" s="107" t="n">
        <f aca="false">I279-280</f>
        <v>8147</v>
      </c>
      <c r="J281" s="108" t="n">
        <v>9586.09</v>
      </c>
      <c r="K281" s="107"/>
      <c r="L281" s="108"/>
      <c r="M281" s="108"/>
      <c r="N281" s="108"/>
      <c r="O281" s="108"/>
      <c r="P281" s="108" t="n">
        <f aca="false">K281+SUM(L281:O281)</f>
        <v>0</v>
      </c>
      <c r="Q281" s="108"/>
      <c r="R281" s="109" t="e">
        <f aca="false">Q281/$P281</f>
        <v>#DIV/0!</v>
      </c>
      <c r="S281" s="108"/>
      <c r="T281" s="109" t="e">
        <f aca="false">S281/$P281</f>
        <v>#DIV/0!</v>
      </c>
      <c r="U281" s="108"/>
      <c r="V281" s="109" t="e">
        <f aca="false">U281/$P281</f>
        <v>#DIV/0!</v>
      </c>
      <c r="W281" s="108"/>
      <c r="X281" s="110" t="e">
        <f aca="false">W281/$P281</f>
        <v>#DIV/0!</v>
      </c>
      <c r="Y281" s="108"/>
      <c r="Z281" s="111"/>
    </row>
    <row r="283" customFormat="false" ht="13.9" hidden="false" customHeight="true" outlineLevel="0" collapsed="false">
      <c r="D283" s="60" t="s">
        <v>207</v>
      </c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1"/>
      <c r="S283" s="60"/>
      <c r="T283" s="61"/>
      <c r="U283" s="60"/>
      <c r="V283" s="61"/>
      <c r="W283" s="60"/>
      <c r="X283" s="61"/>
      <c r="Y283" s="60"/>
      <c r="Z283" s="60"/>
    </row>
    <row r="284" customFormat="false" ht="13.9" hidden="false" customHeight="true" outlineLevel="0" collapsed="false">
      <c r="D284" s="7" t="s">
        <v>33</v>
      </c>
      <c r="E284" s="7" t="s">
        <v>34</v>
      </c>
      <c r="F284" s="7" t="s">
        <v>35</v>
      </c>
      <c r="G284" s="7" t="s">
        <v>1</v>
      </c>
      <c r="H284" s="7" t="s">
        <v>2</v>
      </c>
      <c r="I284" s="7" t="s">
        <v>3</v>
      </c>
      <c r="J284" s="7" t="s">
        <v>4</v>
      </c>
      <c r="K284" s="7" t="s">
        <v>5</v>
      </c>
      <c r="L284" s="7" t="s">
        <v>6</v>
      </c>
      <c r="M284" s="7" t="s">
        <v>7</v>
      </c>
      <c r="N284" s="7" t="s">
        <v>8</v>
      </c>
      <c r="O284" s="7" t="s">
        <v>9</v>
      </c>
      <c r="P284" s="7" t="s">
        <v>10</v>
      </c>
      <c r="Q284" s="7" t="s">
        <v>11</v>
      </c>
      <c r="R284" s="8" t="s">
        <v>12</v>
      </c>
      <c r="S284" s="7" t="s">
        <v>13</v>
      </c>
      <c r="T284" s="8" t="s">
        <v>14</v>
      </c>
      <c r="U284" s="7" t="s">
        <v>15</v>
      </c>
      <c r="V284" s="8" t="s">
        <v>16</v>
      </c>
      <c r="W284" s="7" t="s">
        <v>17</v>
      </c>
      <c r="X284" s="8" t="s">
        <v>18</v>
      </c>
      <c r="Y284" s="7" t="s">
        <v>19</v>
      </c>
      <c r="Z284" s="7" t="s">
        <v>20</v>
      </c>
    </row>
    <row r="285" customFormat="false" ht="13.9" hidden="false" customHeight="true" outlineLevel="0" collapsed="false">
      <c r="A285" s="1" t="n">
        <v>5</v>
      </c>
      <c r="B285" s="1" t="n">
        <v>1</v>
      </c>
      <c r="C285" s="1" t="n">
        <v>3</v>
      </c>
      <c r="D285" s="74" t="s">
        <v>208</v>
      </c>
      <c r="E285" s="10" t="n">
        <v>620</v>
      </c>
      <c r="F285" s="10" t="s">
        <v>128</v>
      </c>
      <c r="G285" s="11" t="n">
        <v>1469.35</v>
      </c>
      <c r="H285" s="11" t="n">
        <v>1405.35</v>
      </c>
      <c r="I285" s="11" t="n">
        <v>330</v>
      </c>
      <c r="J285" s="11" t="n">
        <v>330.47</v>
      </c>
      <c r="K285" s="11" t="n">
        <v>330</v>
      </c>
      <c r="L285" s="11"/>
      <c r="M285" s="11"/>
      <c r="N285" s="11"/>
      <c r="O285" s="11"/>
      <c r="P285" s="11" t="n">
        <f aca="false">K285+SUM(L285:O285)</f>
        <v>330</v>
      </c>
      <c r="Q285" s="11" t="n">
        <v>71.13</v>
      </c>
      <c r="R285" s="12" t="n">
        <f aca="false">Q285/$P285</f>
        <v>0.215545454545455</v>
      </c>
      <c r="S285" s="11" t="n">
        <v>142.26</v>
      </c>
      <c r="T285" s="12" t="n">
        <f aca="false">S285/$P285</f>
        <v>0.431090909090909</v>
      </c>
      <c r="U285" s="11" t="n">
        <v>213.39</v>
      </c>
      <c r="V285" s="12" t="n">
        <f aca="false">U285/$P285</f>
        <v>0.646636363636364</v>
      </c>
      <c r="W285" s="11" t="n">
        <v>284.52</v>
      </c>
      <c r="X285" s="12" t="n">
        <f aca="false">W285/$P285</f>
        <v>0.862181818181818</v>
      </c>
      <c r="Y285" s="11" t="n">
        <f aca="false">K285</f>
        <v>330</v>
      </c>
      <c r="Z285" s="11" t="n">
        <f aca="false">Y285</f>
        <v>330</v>
      </c>
    </row>
    <row r="286" customFormat="false" ht="13.9" hidden="false" customHeight="true" outlineLevel="0" collapsed="false">
      <c r="A286" s="1" t="n">
        <v>5</v>
      </c>
      <c r="B286" s="1" t="n">
        <v>1</v>
      </c>
      <c r="C286" s="1" t="n">
        <v>3</v>
      </c>
      <c r="D286" s="74"/>
      <c r="E286" s="10" t="n">
        <v>630</v>
      </c>
      <c r="F286" s="10" t="s">
        <v>129</v>
      </c>
      <c r="G286" s="11" t="n">
        <v>16673.96</v>
      </c>
      <c r="H286" s="11" t="n">
        <v>14950.95</v>
      </c>
      <c r="I286" s="11" t="n">
        <v>13758</v>
      </c>
      <c r="J286" s="11" t="n">
        <v>13690.99</v>
      </c>
      <c r="K286" s="11" t="n">
        <v>18066</v>
      </c>
      <c r="L286" s="11"/>
      <c r="M286" s="11" t="n">
        <v>104</v>
      </c>
      <c r="N286" s="11"/>
      <c r="O286" s="11" t="n">
        <v>324</v>
      </c>
      <c r="P286" s="11" t="n">
        <f aca="false">K286+SUM(L286:O286)</f>
        <v>18494</v>
      </c>
      <c r="Q286" s="11" t="n">
        <v>3327.48</v>
      </c>
      <c r="R286" s="12" t="n">
        <f aca="false">Q286/$P286</f>
        <v>0.179922136909268</v>
      </c>
      <c r="S286" s="11" t="n">
        <v>7912.99</v>
      </c>
      <c r="T286" s="12" t="n">
        <f aca="false">S286/$P286</f>
        <v>0.4278679571753</v>
      </c>
      <c r="U286" s="11" t="n">
        <v>12673.4</v>
      </c>
      <c r="V286" s="12" t="n">
        <f aca="false">U286/$P286</f>
        <v>0.685270898669839</v>
      </c>
      <c r="W286" s="11" t="n">
        <v>18451.14</v>
      </c>
      <c r="X286" s="12" t="n">
        <f aca="false">W286/$P286</f>
        <v>0.997682491618903</v>
      </c>
      <c r="Y286" s="11" t="n">
        <f aca="false">K286</f>
        <v>18066</v>
      </c>
      <c r="Z286" s="11" t="n">
        <f aca="false">Y286</f>
        <v>18066</v>
      </c>
    </row>
    <row r="287" customFormat="false" ht="13.9" hidden="false" customHeight="true" outlineLevel="0" collapsed="false">
      <c r="A287" s="1" t="n">
        <v>5</v>
      </c>
      <c r="B287" s="1" t="n">
        <v>1</v>
      </c>
      <c r="C287" s="1" t="n">
        <v>3</v>
      </c>
      <c r="D287" s="67" t="s">
        <v>21</v>
      </c>
      <c r="E287" s="13" t="n">
        <v>41</v>
      </c>
      <c r="F287" s="13" t="s">
        <v>23</v>
      </c>
      <c r="G287" s="14" t="n">
        <f aca="false">SUM(G285:G286)</f>
        <v>18143.31</v>
      </c>
      <c r="H287" s="14" t="n">
        <f aca="false">SUM(H285:H286)</f>
        <v>16356.3</v>
      </c>
      <c r="I287" s="14" t="n">
        <f aca="false">SUM(I285:I286)</f>
        <v>14088</v>
      </c>
      <c r="J287" s="14" t="n">
        <f aca="false">SUM(J285:J286)</f>
        <v>14021.46</v>
      </c>
      <c r="K287" s="14" t="n">
        <f aca="false">SUM(K285:K286)</f>
        <v>18396</v>
      </c>
      <c r="L287" s="14" t="n">
        <f aca="false">SUM(L285:L286)</f>
        <v>0</v>
      </c>
      <c r="M287" s="14" t="n">
        <f aca="false">SUM(M285:M286)</f>
        <v>104</v>
      </c>
      <c r="N287" s="14" t="n">
        <f aca="false">SUM(N285:N286)</f>
        <v>0</v>
      </c>
      <c r="O287" s="14" t="n">
        <f aca="false">SUM(O285:O286)</f>
        <v>324</v>
      </c>
      <c r="P287" s="14" t="n">
        <f aca="false">SUM(P285:P286)</f>
        <v>18824</v>
      </c>
      <c r="Q287" s="14" t="n">
        <f aca="false">SUM(Q285:Q286)</f>
        <v>3398.61</v>
      </c>
      <c r="R287" s="15" t="n">
        <f aca="false">Q287/$P287</f>
        <v>0.180546642583935</v>
      </c>
      <c r="S287" s="14" t="n">
        <f aca="false">SUM(S285:S286)</f>
        <v>8055.25</v>
      </c>
      <c r="T287" s="15" t="n">
        <f aca="false">S287/$P287</f>
        <v>0.427924458138547</v>
      </c>
      <c r="U287" s="14" t="n">
        <f aca="false">SUM(U285:U286)</f>
        <v>12886.79</v>
      </c>
      <c r="V287" s="15" t="n">
        <f aca="false">U287/$P287</f>
        <v>0.684593603909902</v>
      </c>
      <c r="W287" s="14" t="n">
        <f aca="false">SUM(W285:W286)</f>
        <v>18735.66</v>
      </c>
      <c r="X287" s="15" t="n">
        <f aca="false">W287/$P287</f>
        <v>0.995307054823629</v>
      </c>
      <c r="Y287" s="14" t="n">
        <f aca="false">SUM(Y285:Y286)</f>
        <v>18396</v>
      </c>
      <c r="Z287" s="14" t="n">
        <f aca="false">SUM(Z285:Z286)</f>
        <v>18396</v>
      </c>
    </row>
    <row r="289" customFormat="false" ht="13.9" hidden="false" customHeight="true" outlineLevel="0" collapsed="false">
      <c r="E289" s="39" t="s">
        <v>57</v>
      </c>
      <c r="F289" s="17" t="s">
        <v>147</v>
      </c>
      <c r="G289" s="40" t="n">
        <v>10894.97</v>
      </c>
      <c r="H289" s="40" t="n">
        <v>10021</v>
      </c>
      <c r="I289" s="40" t="n">
        <v>9702</v>
      </c>
      <c r="J289" s="40" t="n">
        <v>9702</v>
      </c>
      <c r="K289" s="40" t="n">
        <v>14077</v>
      </c>
      <c r="L289" s="40"/>
      <c r="M289" s="40"/>
      <c r="N289" s="40" t="n">
        <v>-943</v>
      </c>
      <c r="O289" s="40"/>
      <c r="P289" s="40" t="n">
        <f aca="false">K289+SUM(L289:O289)</f>
        <v>13134</v>
      </c>
      <c r="Q289" s="40" t="n">
        <v>2388</v>
      </c>
      <c r="R289" s="41" t="n">
        <f aca="false">Q289/$P289</f>
        <v>0.181818181818182</v>
      </c>
      <c r="S289" s="40" t="n">
        <v>5970</v>
      </c>
      <c r="T289" s="41" t="n">
        <f aca="false">S289/$P289</f>
        <v>0.454545454545455</v>
      </c>
      <c r="U289" s="40" t="n">
        <v>9552</v>
      </c>
      <c r="V289" s="41" t="n">
        <f aca="false">U289/$P289</f>
        <v>0.727272727272727</v>
      </c>
      <c r="W289" s="40" t="n">
        <v>13134</v>
      </c>
      <c r="X289" s="42" t="n">
        <f aca="false">W289/$P289</f>
        <v>1</v>
      </c>
      <c r="Y289" s="40" t="n">
        <f aca="false">K289</f>
        <v>14077</v>
      </c>
      <c r="Z289" s="43" t="n">
        <f aca="false">Y289</f>
        <v>14077</v>
      </c>
    </row>
    <row r="290" customFormat="false" ht="13.9" hidden="false" customHeight="true" outlineLevel="0" collapsed="false">
      <c r="E290" s="52"/>
      <c r="F290" s="86" t="s">
        <v>209</v>
      </c>
      <c r="G290" s="54" t="n">
        <v>5674.52</v>
      </c>
      <c r="H290" s="54" t="n">
        <v>5681.79</v>
      </c>
      <c r="I290" s="54" t="n">
        <v>4131</v>
      </c>
      <c r="J290" s="54" t="n">
        <v>4131.6</v>
      </c>
      <c r="K290" s="54" t="n">
        <v>4131</v>
      </c>
      <c r="L290" s="54"/>
      <c r="M290" s="54"/>
      <c r="N290" s="54"/>
      <c r="O290" s="54"/>
      <c r="P290" s="54" t="n">
        <f aca="false">K290+SUM(L290:O290)</f>
        <v>4131</v>
      </c>
      <c r="Q290" s="54" t="n">
        <v>1010.61</v>
      </c>
      <c r="R290" s="55" t="n">
        <f aca="false">Q290/$P290</f>
        <v>0.244640522875817</v>
      </c>
      <c r="S290" s="54" t="n">
        <v>2021.22</v>
      </c>
      <c r="T290" s="55" t="n">
        <f aca="false">S290/$P290</f>
        <v>0.489281045751634</v>
      </c>
      <c r="U290" s="54" t="n">
        <v>3031.83</v>
      </c>
      <c r="V290" s="55" t="n">
        <f aca="false">U290/$P290</f>
        <v>0.733921568627451</v>
      </c>
      <c r="W290" s="54" t="n">
        <v>4042.44</v>
      </c>
      <c r="X290" s="56" t="n">
        <f aca="false">W290/$P290</f>
        <v>0.978562091503268</v>
      </c>
      <c r="Y290" s="54" t="n">
        <f aca="false">K290</f>
        <v>4131</v>
      </c>
      <c r="Z290" s="57" t="n">
        <f aca="false">Y290</f>
        <v>4131</v>
      </c>
    </row>
    <row r="292" customFormat="false" ht="13.9" hidden="false" customHeight="true" outlineLevel="0" collapsed="false">
      <c r="D292" s="60" t="s">
        <v>210</v>
      </c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1"/>
      <c r="S292" s="60"/>
      <c r="T292" s="61"/>
      <c r="U292" s="60"/>
      <c r="V292" s="61"/>
      <c r="W292" s="60"/>
      <c r="X292" s="61"/>
      <c r="Y292" s="60"/>
      <c r="Z292" s="60"/>
    </row>
    <row r="293" customFormat="false" ht="13.9" hidden="false" customHeight="true" outlineLevel="0" collapsed="false">
      <c r="D293" s="7" t="s">
        <v>33</v>
      </c>
      <c r="E293" s="7" t="s">
        <v>34</v>
      </c>
      <c r="F293" s="7" t="s">
        <v>35</v>
      </c>
      <c r="G293" s="7" t="s">
        <v>1</v>
      </c>
      <c r="H293" s="7" t="s">
        <v>2</v>
      </c>
      <c r="I293" s="7" t="s">
        <v>3</v>
      </c>
      <c r="J293" s="7" t="s">
        <v>4</v>
      </c>
      <c r="K293" s="7" t="s">
        <v>5</v>
      </c>
      <c r="L293" s="7" t="s">
        <v>6</v>
      </c>
      <c r="M293" s="7" t="s">
        <v>7</v>
      </c>
      <c r="N293" s="7" t="s">
        <v>8</v>
      </c>
      <c r="O293" s="7" t="s">
        <v>9</v>
      </c>
      <c r="P293" s="7" t="s">
        <v>10</v>
      </c>
      <c r="Q293" s="7" t="s">
        <v>11</v>
      </c>
      <c r="R293" s="8" t="s">
        <v>12</v>
      </c>
      <c r="S293" s="7" t="s">
        <v>13</v>
      </c>
      <c r="T293" s="8" t="s">
        <v>14</v>
      </c>
      <c r="U293" s="7" t="s">
        <v>15</v>
      </c>
      <c r="V293" s="8" t="s">
        <v>16</v>
      </c>
      <c r="W293" s="7" t="s">
        <v>17</v>
      </c>
      <c r="X293" s="8" t="s">
        <v>18</v>
      </c>
      <c r="Y293" s="7" t="s">
        <v>19</v>
      </c>
      <c r="Z293" s="7" t="s">
        <v>20</v>
      </c>
    </row>
    <row r="294" customFormat="false" ht="13.9" hidden="false" customHeight="true" outlineLevel="0" collapsed="false">
      <c r="A294" s="1" t="n">
        <v>5</v>
      </c>
      <c r="B294" s="1" t="n">
        <v>1</v>
      </c>
      <c r="C294" s="1" t="n">
        <v>4</v>
      </c>
      <c r="D294" s="74" t="s">
        <v>211</v>
      </c>
      <c r="E294" s="10" t="n">
        <v>630</v>
      </c>
      <c r="F294" s="10" t="s">
        <v>129</v>
      </c>
      <c r="G294" s="11" t="n">
        <v>136.9</v>
      </c>
      <c r="H294" s="11" t="n">
        <v>59.4</v>
      </c>
      <c r="I294" s="11" t="n">
        <v>60</v>
      </c>
      <c r="J294" s="11" t="n">
        <v>1076.12</v>
      </c>
      <c r="K294" s="11" t="n">
        <v>16</v>
      </c>
      <c r="L294" s="11"/>
      <c r="M294" s="11"/>
      <c r="N294" s="11"/>
      <c r="O294" s="11" t="n">
        <v>11</v>
      </c>
      <c r="P294" s="11" t="n">
        <f aca="false">K294+SUM(L294:O294)</f>
        <v>27</v>
      </c>
      <c r="Q294" s="11" t="n">
        <v>0</v>
      </c>
      <c r="R294" s="12" t="n">
        <f aca="false">Q294/$P294</f>
        <v>0</v>
      </c>
      <c r="S294" s="11" t="n">
        <v>0</v>
      </c>
      <c r="T294" s="12" t="n">
        <f aca="false">S294/$P294</f>
        <v>0</v>
      </c>
      <c r="U294" s="11" t="n">
        <v>9.9</v>
      </c>
      <c r="V294" s="12" t="n">
        <f aca="false">U294/$P294</f>
        <v>0.366666666666667</v>
      </c>
      <c r="W294" s="11" t="n">
        <v>26.62</v>
      </c>
      <c r="X294" s="12" t="n">
        <f aca="false">W294/$P294</f>
        <v>0.985925925925926</v>
      </c>
      <c r="Y294" s="11" t="n">
        <f aca="false">K294</f>
        <v>16</v>
      </c>
      <c r="Z294" s="11" t="n">
        <f aca="false">Y294</f>
        <v>16</v>
      </c>
    </row>
    <row r="295" customFormat="false" ht="13.9" hidden="false" customHeight="true" outlineLevel="0" collapsed="false">
      <c r="A295" s="1" t="n">
        <v>5</v>
      </c>
      <c r="B295" s="1" t="n">
        <v>1</v>
      </c>
      <c r="C295" s="1" t="n">
        <v>4</v>
      </c>
      <c r="D295" s="67" t="s">
        <v>21</v>
      </c>
      <c r="E295" s="13" t="n">
        <v>41</v>
      </c>
      <c r="F295" s="13" t="s">
        <v>23</v>
      </c>
      <c r="G295" s="14" t="n">
        <f aca="false">SUM(G294:G294)</f>
        <v>136.9</v>
      </c>
      <c r="H295" s="14" t="n">
        <f aca="false">SUM(H294:H294)</f>
        <v>59.4</v>
      </c>
      <c r="I295" s="14" t="n">
        <f aca="false">SUM(I294:I294)</f>
        <v>60</v>
      </c>
      <c r="J295" s="14" t="n">
        <f aca="false">SUM(J294:J294)</f>
        <v>1076.12</v>
      </c>
      <c r="K295" s="14" t="n">
        <f aca="false">SUM(K294:K294)</f>
        <v>16</v>
      </c>
      <c r="L295" s="14" t="n">
        <f aca="false">SUM(L294:L294)</f>
        <v>0</v>
      </c>
      <c r="M295" s="14" t="n">
        <f aca="false">SUM(M294:M294)</f>
        <v>0</v>
      </c>
      <c r="N295" s="14" t="n">
        <f aca="false">SUM(N294:N294)</f>
        <v>0</v>
      </c>
      <c r="O295" s="14" t="n">
        <f aca="false">SUM(O294:O294)</f>
        <v>11</v>
      </c>
      <c r="P295" s="14" t="n">
        <f aca="false">SUM(P294:P294)</f>
        <v>27</v>
      </c>
      <c r="Q295" s="14" t="n">
        <f aca="false">SUM(Q294:Q294)</f>
        <v>0</v>
      </c>
      <c r="R295" s="15" t="n">
        <f aca="false">Q295/$P295</f>
        <v>0</v>
      </c>
      <c r="S295" s="14" t="n">
        <f aca="false">SUM(S294:S294)</f>
        <v>0</v>
      </c>
      <c r="T295" s="15" t="n">
        <f aca="false">S295/$P295</f>
        <v>0</v>
      </c>
      <c r="U295" s="14" t="n">
        <f aca="false">SUM(U294:U294)</f>
        <v>9.9</v>
      </c>
      <c r="V295" s="15" t="n">
        <f aca="false">U295/$P295</f>
        <v>0.366666666666667</v>
      </c>
      <c r="W295" s="14" t="n">
        <f aca="false">SUM(W294:W294)</f>
        <v>26.62</v>
      </c>
      <c r="X295" s="15" t="n">
        <f aca="false">W295/$P295</f>
        <v>0.985925925925926</v>
      </c>
      <c r="Y295" s="14" t="n">
        <f aca="false">SUM(Y294:Y294)</f>
        <v>16</v>
      </c>
      <c r="Z295" s="14" t="n">
        <f aca="false">SUM(Z294:Z294)</f>
        <v>16</v>
      </c>
    </row>
    <row r="297" customFormat="false" ht="13.9" hidden="false" customHeight="true" outlineLevel="0" collapsed="false">
      <c r="D297" s="28" t="s">
        <v>212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9"/>
      <c r="S297" s="28"/>
      <c r="T297" s="29"/>
      <c r="U297" s="28"/>
      <c r="V297" s="29"/>
      <c r="W297" s="28"/>
      <c r="X297" s="29"/>
      <c r="Y297" s="28"/>
      <c r="Z297" s="28"/>
    </row>
    <row r="298" customFormat="false" ht="13.9" hidden="false" customHeight="true" outlineLevel="0" collapsed="false">
      <c r="D298" s="105"/>
      <c r="E298" s="105"/>
      <c r="F298" s="105"/>
      <c r="G298" s="7" t="s">
        <v>1</v>
      </c>
      <c r="H298" s="7" t="s">
        <v>2</v>
      </c>
      <c r="I298" s="7" t="s">
        <v>3</v>
      </c>
      <c r="J298" s="7" t="s">
        <v>4</v>
      </c>
      <c r="K298" s="7" t="s">
        <v>5</v>
      </c>
      <c r="L298" s="7" t="s">
        <v>6</v>
      </c>
      <c r="M298" s="7" t="s">
        <v>7</v>
      </c>
      <c r="N298" s="7" t="s">
        <v>8</v>
      </c>
      <c r="O298" s="7" t="s">
        <v>9</v>
      </c>
      <c r="P298" s="7" t="s">
        <v>10</v>
      </c>
      <c r="Q298" s="7" t="s">
        <v>11</v>
      </c>
      <c r="R298" s="8" t="s">
        <v>12</v>
      </c>
      <c r="S298" s="7" t="s">
        <v>13</v>
      </c>
      <c r="T298" s="8" t="s">
        <v>14</v>
      </c>
      <c r="U298" s="7" t="s">
        <v>15</v>
      </c>
      <c r="V298" s="8" t="s">
        <v>16</v>
      </c>
      <c r="W298" s="7" t="s">
        <v>17</v>
      </c>
      <c r="X298" s="8" t="s">
        <v>18</v>
      </c>
      <c r="Y298" s="7" t="s">
        <v>19</v>
      </c>
      <c r="Z298" s="7" t="s">
        <v>20</v>
      </c>
    </row>
    <row r="299" customFormat="false" ht="13.9" hidden="false" customHeight="true" outlineLevel="0" collapsed="false">
      <c r="A299" s="1" t="n">
        <v>5</v>
      </c>
      <c r="B299" s="1" t="n">
        <v>2</v>
      </c>
      <c r="D299" s="9" t="s">
        <v>21</v>
      </c>
      <c r="E299" s="98" t="s">
        <v>136</v>
      </c>
      <c r="F299" s="10" t="s">
        <v>47</v>
      </c>
      <c r="G299" s="11" t="n">
        <f aca="false">G325</f>
        <v>21626.75</v>
      </c>
      <c r="H299" s="11" t="n">
        <f aca="false">H325</f>
        <v>0</v>
      </c>
      <c r="I299" s="11" t="n">
        <f aca="false">I325</f>
        <v>0</v>
      </c>
      <c r="J299" s="11" t="n">
        <f aca="false">J325</f>
        <v>0</v>
      </c>
      <c r="K299" s="11" t="n">
        <f aca="false">K325</f>
        <v>0</v>
      </c>
      <c r="L299" s="11" t="n">
        <f aca="false">L325</f>
        <v>8259</v>
      </c>
      <c r="M299" s="11" t="n">
        <f aca="false">M325</f>
        <v>0</v>
      </c>
      <c r="N299" s="11" t="n">
        <f aca="false">N325</f>
        <v>0</v>
      </c>
      <c r="O299" s="11" t="n">
        <f aca="false">O325</f>
        <v>0</v>
      </c>
      <c r="P299" s="11" t="n">
        <f aca="false">P325</f>
        <v>8259</v>
      </c>
      <c r="Q299" s="11" t="n">
        <f aca="false">Q325</f>
        <v>0</v>
      </c>
      <c r="R299" s="12" t="n">
        <f aca="false">Q299/$P299</f>
        <v>0</v>
      </c>
      <c r="S299" s="11" t="n">
        <f aca="false">S325</f>
        <v>917.65</v>
      </c>
      <c r="T299" s="12" t="n">
        <f aca="false">S299/$P299</f>
        <v>0.111109093110546</v>
      </c>
      <c r="U299" s="11" t="n">
        <f aca="false">U325</f>
        <v>4588.25</v>
      </c>
      <c r="V299" s="12" t="n">
        <f aca="false">U299/$P299</f>
        <v>0.55554546555273</v>
      </c>
      <c r="W299" s="11" t="n">
        <f aca="false">W325</f>
        <v>8290.29</v>
      </c>
      <c r="X299" s="12" t="n">
        <f aca="false">W299/$P299</f>
        <v>1.00378859426081</v>
      </c>
      <c r="Y299" s="11" t="n">
        <f aca="false">Y325</f>
        <v>0</v>
      </c>
      <c r="Z299" s="11" t="n">
        <f aca="false">Z325</f>
        <v>0</v>
      </c>
    </row>
    <row r="300" customFormat="false" ht="13.9" hidden="false" customHeight="true" outlineLevel="0" collapsed="false">
      <c r="A300" s="1" t="n">
        <v>5</v>
      </c>
      <c r="B300" s="1" t="n">
        <v>2</v>
      </c>
      <c r="D300" s="9" t="s">
        <v>21</v>
      </c>
      <c r="E300" s="10" t="n">
        <v>41</v>
      </c>
      <c r="F300" s="10" t="s">
        <v>23</v>
      </c>
      <c r="G300" s="11" t="n">
        <f aca="false">G307+G317+G330</f>
        <v>9763.12</v>
      </c>
      <c r="H300" s="11" t="n">
        <f aca="false">H307+H317+H330</f>
        <v>8858</v>
      </c>
      <c r="I300" s="11" t="n">
        <f aca="false">I307+I317+I330</f>
        <v>20153</v>
      </c>
      <c r="J300" s="11" t="n">
        <f aca="false">J307+J317+J330</f>
        <v>15681.51</v>
      </c>
      <c r="K300" s="11" t="n">
        <f aca="false">K307+K317+K330</f>
        <v>12238</v>
      </c>
      <c r="L300" s="11" t="n">
        <f aca="false">L307+L317+L330</f>
        <v>1084</v>
      </c>
      <c r="M300" s="11" t="n">
        <f aca="false">M307+M317+M330</f>
        <v>4579</v>
      </c>
      <c r="N300" s="11" t="n">
        <f aca="false">N307+N317+N330</f>
        <v>4575</v>
      </c>
      <c r="O300" s="11" t="n">
        <f aca="false">O307+O317+O330</f>
        <v>791</v>
      </c>
      <c r="P300" s="11" t="n">
        <f aca="false">P307+P317+P330</f>
        <v>23267</v>
      </c>
      <c r="Q300" s="11" t="n">
        <f aca="false">Q307+Q317+Q330</f>
        <v>4283.07</v>
      </c>
      <c r="R300" s="12" t="n">
        <f aca="false">Q300/$P300</f>
        <v>0.184083465852925</v>
      </c>
      <c r="S300" s="11" t="n">
        <f aca="false">S307+S317+S330</f>
        <v>8848.25</v>
      </c>
      <c r="T300" s="12" t="n">
        <f aca="false">S300/$P300</f>
        <v>0.380291829629948</v>
      </c>
      <c r="U300" s="11" t="n">
        <f aca="false">U307+U317+U330</f>
        <v>16319.06</v>
      </c>
      <c r="V300" s="12" t="n">
        <f aca="false">U300/$P300</f>
        <v>0.701382215154511</v>
      </c>
      <c r="W300" s="11" t="n">
        <f aca="false">W307+W317+W330</f>
        <v>23233.62</v>
      </c>
      <c r="X300" s="12" t="n">
        <f aca="false">W300/$P300</f>
        <v>0.998565350066618</v>
      </c>
      <c r="Y300" s="11" t="n">
        <f aca="false">Y307+Y317+Y330</f>
        <v>12328</v>
      </c>
      <c r="Z300" s="11" t="n">
        <f aca="false">Z307+Z317+Z330</f>
        <v>12419</v>
      </c>
    </row>
    <row r="301" customFormat="false" ht="13.9" hidden="false" customHeight="true" outlineLevel="0" collapsed="false">
      <c r="A301" s="1" t="n">
        <v>5</v>
      </c>
      <c r="B301" s="1" t="n">
        <v>2</v>
      </c>
      <c r="D301" s="9" t="s">
        <v>21</v>
      </c>
      <c r="E301" s="10" t="n">
        <v>72</v>
      </c>
      <c r="F301" s="10" t="s">
        <v>25</v>
      </c>
      <c r="G301" s="11" t="n">
        <f aca="false">G332</f>
        <v>303.74</v>
      </c>
      <c r="H301" s="11" t="n">
        <f aca="false">H332</f>
        <v>0</v>
      </c>
      <c r="I301" s="11" t="n">
        <f aca="false">I332</f>
        <v>165</v>
      </c>
      <c r="J301" s="11" t="n">
        <f aca="false">J332</f>
        <v>0</v>
      </c>
      <c r="K301" s="11" t="n">
        <f aca="false">K332</f>
        <v>0</v>
      </c>
      <c r="L301" s="11" t="n">
        <f aca="false">L332</f>
        <v>0</v>
      </c>
      <c r="M301" s="11" t="n">
        <f aca="false">M332</f>
        <v>0</v>
      </c>
      <c r="N301" s="11" t="n">
        <f aca="false">N332</f>
        <v>0</v>
      </c>
      <c r="O301" s="11" t="n">
        <f aca="false">O332</f>
        <v>138</v>
      </c>
      <c r="P301" s="11" t="n">
        <f aca="false">P332</f>
        <v>138</v>
      </c>
      <c r="Q301" s="11" t="n">
        <f aca="false">Q332</f>
        <v>0</v>
      </c>
      <c r="R301" s="12" t="n">
        <f aca="false">Q301/$P301</f>
        <v>0</v>
      </c>
      <c r="S301" s="11" t="n">
        <f aca="false">S332</f>
        <v>0</v>
      </c>
      <c r="T301" s="12" t="n">
        <f aca="false">S301/$P301</f>
        <v>0</v>
      </c>
      <c r="U301" s="11" t="n">
        <f aca="false">U332</f>
        <v>0</v>
      </c>
      <c r="V301" s="12" t="n">
        <f aca="false">U301/$P301</f>
        <v>0</v>
      </c>
      <c r="W301" s="11" t="n">
        <f aca="false">W332</f>
        <v>138.36</v>
      </c>
      <c r="X301" s="12" t="n">
        <f aca="false">W301/$P301</f>
        <v>1.00260869565217</v>
      </c>
      <c r="Y301" s="11" t="n">
        <f aca="false">Y332</f>
        <v>0</v>
      </c>
      <c r="Z301" s="11" t="n">
        <f aca="false">Z332</f>
        <v>0</v>
      </c>
    </row>
    <row r="302" customFormat="false" ht="13.9" hidden="false" customHeight="true" outlineLevel="0" collapsed="false">
      <c r="A302" s="1" t="n">
        <v>5</v>
      </c>
      <c r="B302" s="1" t="n">
        <v>2</v>
      </c>
      <c r="D302" s="17"/>
      <c r="E302" s="18"/>
      <c r="F302" s="13" t="s">
        <v>122</v>
      </c>
      <c r="G302" s="14" t="n">
        <f aca="false">SUM(G299:G301)</f>
        <v>31693.61</v>
      </c>
      <c r="H302" s="14" t="n">
        <f aca="false">SUM(H299:H301)</f>
        <v>8858</v>
      </c>
      <c r="I302" s="14" t="n">
        <f aca="false">SUM(I299:I301)</f>
        <v>20318</v>
      </c>
      <c r="J302" s="14" t="n">
        <f aca="false">SUM(J299:J301)</f>
        <v>15681.51</v>
      </c>
      <c r="K302" s="14" t="n">
        <f aca="false">SUM(K299:K301)</f>
        <v>12238</v>
      </c>
      <c r="L302" s="14" t="n">
        <f aca="false">SUM(L299:L301)</f>
        <v>9343</v>
      </c>
      <c r="M302" s="14" t="n">
        <f aca="false">SUM(M299:M301)</f>
        <v>4579</v>
      </c>
      <c r="N302" s="14" t="n">
        <f aca="false">SUM(N299:N301)</f>
        <v>4575</v>
      </c>
      <c r="O302" s="14" t="n">
        <f aca="false">SUM(O299:O301)</f>
        <v>929</v>
      </c>
      <c r="P302" s="14" t="n">
        <f aca="false">SUM(P299:P301)</f>
        <v>31664</v>
      </c>
      <c r="Q302" s="14" t="n">
        <f aca="false">SUM(Q299:Q301)</f>
        <v>4283.07</v>
      </c>
      <c r="R302" s="15" t="n">
        <f aca="false">Q302/$P302</f>
        <v>0.135266232945932</v>
      </c>
      <c r="S302" s="14" t="n">
        <f aca="false">SUM(S299:S301)</f>
        <v>9765.9</v>
      </c>
      <c r="T302" s="15" t="n">
        <f aca="false">S302/$P302</f>
        <v>0.308422814552804</v>
      </c>
      <c r="U302" s="14" t="n">
        <f aca="false">SUM(U299:U301)</f>
        <v>20907.31</v>
      </c>
      <c r="V302" s="15" t="n">
        <f aca="false">U302/$P302</f>
        <v>0.660286445174331</v>
      </c>
      <c r="W302" s="14" t="n">
        <f aca="false">SUM(W299:W301)</f>
        <v>31662.27</v>
      </c>
      <c r="X302" s="15" t="n">
        <f aca="false">W302/$P302</f>
        <v>0.999945363820111</v>
      </c>
      <c r="Y302" s="14" t="n">
        <f aca="false">SUM(Y299:Y301)</f>
        <v>12328</v>
      </c>
      <c r="Z302" s="14" t="n">
        <f aca="false">SUM(Z299:Z301)</f>
        <v>12419</v>
      </c>
    </row>
    <row r="304" customFormat="false" ht="13.9" hidden="false" customHeight="true" outlineLevel="0" collapsed="false">
      <c r="D304" s="60" t="s">
        <v>213</v>
      </c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1"/>
      <c r="S304" s="60"/>
      <c r="T304" s="61"/>
      <c r="U304" s="60"/>
      <c r="V304" s="61"/>
      <c r="W304" s="60"/>
      <c r="X304" s="61"/>
      <c r="Y304" s="60"/>
      <c r="Z304" s="60"/>
    </row>
    <row r="305" customFormat="false" ht="13.9" hidden="false" customHeight="true" outlineLevel="0" collapsed="false">
      <c r="D305" s="7" t="s">
        <v>33</v>
      </c>
      <c r="E305" s="7" t="s">
        <v>34</v>
      </c>
      <c r="F305" s="7" t="s">
        <v>35</v>
      </c>
      <c r="G305" s="7" t="s">
        <v>1</v>
      </c>
      <c r="H305" s="7" t="s">
        <v>2</v>
      </c>
      <c r="I305" s="7" t="s">
        <v>3</v>
      </c>
      <c r="J305" s="7" t="s">
        <v>4</v>
      </c>
      <c r="K305" s="7" t="s">
        <v>5</v>
      </c>
      <c r="L305" s="7" t="s">
        <v>6</v>
      </c>
      <c r="M305" s="7" t="s">
        <v>7</v>
      </c>
      <c r="N305" s="7" t="s">
        <v>8</v>
      </c>
      <c r="O305" s="7" t="s">
        <v>9</v>
      </c>
      <c r="P305" s="7" t="s">
        <v>10</v>
      </c>
      <c r="Q305" s="7" t="s">
        <v>11</v>
      </c>
      <c r="R305" s="8" t="s">
        <v>12</v>
      </c>
      <c r="S305" s="7" t="s">
        <v>13</v>
      </c>
      <c r="T305" s="8" t="s">
        <v>14</v>
      </c>
      <c r="U305" s="7" t="s">
        <v>15</v>
      </c>
      <c r="V305" s="8" t="s">
        <v>16</v>
      </c>
      <c r="W305" s="7" t="s">
        <v>17</v>
      </c>
      <c r="X305" s="8" t="s">
        <v>18</v>
      </c>
      <c r="Y305" s="7" t="s">
        <v>19</v>
      </c>
      <c r="Z305" s="7" t="s">
        <v>20</v>
      </c>
    </row>
    <row r="306" customFormat="false" ht="13.9" hidden="false" customHeight="true" outlineLevel="0" collapsed="false">
      <c r="A306" s="1" t="n">
        <v>5</v>
      </c>
      <c r="B306" s="1" t="n">
        <v>2</v>
      </c>
      <c r="C306" s="1" t="n">
        <v>1</v>
      </c>
      <c r="D306" s="38" t="s">
        <v>214</v>
      </c>
      <c r="E306" s="10" t="n">
        <v>630</v>
      </c>
      <c r="F306" s="10" t="s">
        <v>129</v>
      </c>
      <c r="G306" s="11" t="n">
        <v>3009.25</v>
      </c>
      <c r="H306" s="11" t="n">
        <v>8666.7</v>
      </c>
      <c r="I306" s="11" t="n">
        <v>5155</v>
      </c>
      <c r="J306" s="11" t="n">
        <v>6024</v>
      </c>
      <c r="K306" s="11" t="n">
        <v>7990</v>
      </c>
      <c r="L306" s="11"/>
      <c r="M306" s="11"/>
      <c r="N306" s="11"/>
      <c r="O306" s="11" t="n">
        <f aca="false">-2000+716</f>
        <v>-1284</v>
      </c>
      <c r="P306" s="11" t="n">
        <f aca="false">K306+SUM(L306:O306)</f>
        <v>6706</v>
      </c>
      <c r="Q306" s="11" t="n">
        <v>3760.13</v>
      </c>
      <c r="R306" s="12" t="n">
        <f aca="false">Q306/$P306</f>
        <v>0.560711303310468</v>
      </c>
      <c r="S306" s="11" t="n">
        <v>4066.4</v>
      </c>
      <c r="T306" s="12" t="n">
        <f aca="false">S306/$P306</f>
        <v>0.606382344169401</v>
      </c>
      <c r="U306" s="11" t="n">
        <v>5067.2</v>
      </c>
      <c r="V306" s="12" t="n">
        <f aca="false">U306/$P306</f>
        <v>0.755621831195944</v>
      </c>
      <c r="W306" s="11" t="n">
        <v>6704.29</v>
      </c>
      <c r="X306" s="12" t="n">
        <f aca="false">W306/$P306</f>
        <v>0.999745004473606</v>
      </c>
      <c r="Y306" s="11" t="n">
        <f aca="false">K306</f>
        <v>7990</v>
      </c>
      <c r="Z306" s="11" t="n">
        <f aca="false">Y306</f>
        <v>7990</v>
      </c>
    </row>
    <row r="307" customFormat="false" ht="13.9" hidden="false" customHeight="true" outlineLevel="0" collapsed="false">
      <c r="A307" s="1" t="n">
        <v>5</v>
      </c>
      <c r="B307" s="1" t="n">
        <v>2</v>
      </c>
      <c r="C307" s="1" t="n">
        <v>1</v>
      </c>
      <c r="D307" s="67" t="s">
        <v>21</v>
      </c>
      <c r="E307" s="13" t="n">
        <v>41</v>
      </c>
      <c r="F307" s="13" t="s">
        <v>23</v>
      </c>
      <c r="G307" s="14" t="n">
        <f aca="false">SUM(G306:G306)</f>
        <v>3009.25</v>
      </c>
      <c r="H307" s="14" t="n">
        <f aca="false">SUM(H306:H306)</f>
        <v>8666.7</v>
      </c>
      <c r="I307" s="14" t="n">
        <f aca="false">SUM(I306:I306)</f>
        <v>5155</v>
      </c>
      <c r="J307" s="14" t="n">
        <f aca="false">SUM(J306:J306)</f>
        <v>6024</v>
      </c>
      <c r="K307" s="14" t="n">
        <f aca="false">SUM(K306:K306)</f>
        <v>7990</v>
      </c>
      <c r="L307" s="14" t="n">
        <f aca="false">SUM(L306:L306)</f>
        <v>0</v>
      </c>
      <c r="M307" s="14" t="n">
        <f aca="false">SUM(M306:M306)</f>
        <v>0</v>
      </c>
      <c r="N307" s="14" t="n">
        <f aca="false">SUM(N306:N306)</f>
        <v>0</v>
      </c>
      <c r="O307" s="14" t="n">
        <f aca="false">SUM(O306:O306)</f>
        <v>-1284</v>
      </c>
      <c r="P307" s="14" t="n">
        <f aca="false">SUM(P306:P306)</f>
        <v>6706</v>
      </c>
      <c r="Q307" s="14" t="n">
        <f aca="false">SUM(Q306:Q306)</f>
        <v>3760.13</v>
      </c>
      <c r="R307" s="15" t="n">
        <f aca="false">Q307/$P307</f>
        <v>0.560711303310468</v>
      </c>
      <c r="S307" s="14" t="n">
        <f aca="false">SUM(S306:S306)</f>
        <v>4066.4</v>
      </c>
      <c r="T307" s="15" t="n">
        <f aca="false">S307/$P307</f>
        <v>0.606382344169401</v>
      </c>
      <c r="U307" s="14" t="n">
        <f aca="false">SUM(U306:U306)</f>
        <v>5067.2</v>
      </c>
      <c r="V307" s="15" t="n">
        <f aca="false">U307/$P307</f>
        <v>0.755621831195944</v>
      </c>
      <c r="W307" s="14" t="n">
        <f aca="false">SUM(W306:W306)</f>
        <v>6704.29</v>
      </c>
      <c r="X307" s="15" t="n">
        <f aca="false">W307/$P307</f>
        <v>0.999745004473606</v>
      </c>
      <c r="Y307" s="14" t="n">
        <f aca="false">SUM(Y306:Y306)</f>
        <v>7990</v>
      </c>
      <c r="Z307" s="14" t="n">
        <f aca="false">SUM(Z306:Z306)</f>
        <v>7990</v>
      </c>
    </row>
    <row r="309" customFormat="false" ht="13.9" hidden="false" customHeight="true" outlineLevel="0" collapsed="false">
      <c r="E309" s="39" t="s">
        <v>57</v>
      </c>
      <c r="F309" s="17" t="s">
        <v>215</v>
      </c>
      <c r="G309" s="40" t="n">
        <v>1643.49</v>
      </c>
      <c r="H309" s="40" t="n">
        <v>1146.46</v>
      </c>
      <c r="I309" s="40" t="n">
        <v>1155</v>
      </c>
      <c r="J309" s="40" t="n">
        <v>1353.9</v>
      </c>
      <c r="K309" s="40" t="n">
        <v>3990</v>
      </c>
      <c r="L309" s="40" t="n">
        <v>900</v>
      </c>
      <c r="M309" s="40"/>
      <c r="N309" s="40" t="n">
        <v>11</v>
      </c>
      <c r="O309" s="40" t="n">
        <v>966</v>
      </c>
      <c r="P309" s="40" t="n">
        <f aca="false">K309+SUM(L309:O309)</f>
        <v>5867</v>
      </c>
      <c r="Q309" s="40" t="n">
        <v>3760.13</v>
      </c>
      <c r="R309" s="41" t="n">
        <f aca="false">Q309/$P309</f>
        <v>0.640894835520709</v>
      </c>
      <c r="S309" s="40" t="n">
        <v>3866.4</v>
      </c>
      <c r="T309" s="41" t="n">
        <f aca="false">S309/$P309</f>
        <v>0.659008010908471</v>
      </c>
      <c r="U309" s="40" t="n">
        <v>3866.4</v>
      </c>
      <c r="V309" s="41" t="n">
        <f aca="false">U309/$P309</f>
        <v>0.659008010908471</v>
      </c>
      <c r="W309" s="40" t="n">
        <v>4866.4</v>
      </c>
      <c r="X309" s="42" t="n">
        <f aca="false">W309/$P309</f>
        <v>0.829452871995909</v>
      </c>
      <c r="Y309" s="40" t="n">
        <f aca="false">K309</f>
        <v>3990</v>
      </c>
      <c r="Z309" s="43" t="n">
        <f aca="false">Y309</f>
        <v>3990</v>
      </c>
    </row>
    <row r="310" customFormat="false" ht="13.9" hidden="true" customHeight="true" outlineLevel="0" collapsed="false">
      <c r="E310" s="44"/>
      <c r="F310" s="45" t="s">
        <v>216</v>
      </c>
      <c r="G310" s="46" t="n">
        <v>625.91</v>
      </c>
      <c r="H310" s="46" t="n">
        <v>30</v>
      </c>
      <c r="I310" s="46" t="n">
        <v>500</v>
      </c>
      <c r="J310" s="46" t="n">
        <v>0</v>
      </c>
      <c r="K310" s="46" t="n">
        <v>500</v>
      </c>
      <c r="L310" s="46"/>
      <c r="M310" s="46"/>
      <c r="N310" s="46"/>
      <c r="O310" s="46"/>
      <c r="P310" s="46" t="n">
        <f aca="false">K310+SUM(L310:O310)</f>
        <v>500</v>
      </c>
      <c r="Q310" s="46"/>
      <c r="R310" s="2" t="n">
        <f aca="false">Q310/$P310</f>
        <v>0</v>
      </c>
      <c r="S310" s="46"/>
      <c r="T310" s="2" t="n">
        <f aca="false">S310/$P310</f>
        <v>0</v>
      </c>
      <c r="U310" s="46"/>
      <c r="V310" s="2" t="n">
        <f aca="false">U310/$P310</f>
        <v>0</v>
      </c>
      <c r="W310" s="46"/>
      <c r="X310" s="47" t="n">
        <f aca="false">W310/$P310</f>
        <v>0</v>
      </c>
      <c r="Y310" s="46" t="n">
        <f aca="false">K310</f>
        <v>500</v>
      </c>
      <c r="Z310" s="48" t="n">
        <f aca="false">Y310</f>
        <v>500</v>
      </c>
    </row>
    <row r="311" customFormat="false" ht="13.9" hidden="false" customHeight="true" outlineLevel="0" collapsed="false">
      <c r="E311" s="52"/>
      <c r="F311" s="53" t="s">
        <v>217</v>
      </c>
      <c r="G311" s="87" t="n">
        <v>0</v>
      </c>
      <c r="H311" s="54" t="n">
        <v>5490.24</v>
      </c>
      <c r="I311" s="54" t="n">
        <v>3000</v>
      </c>
      <c r="J311" s="54" t="n">
        <v>4670.1</v>
      </c>
      <c r="K311" s="54" t="n">
        <v>3000</v>
      </c>
      <c r="L311" s="54"/>
      <c r="M311" s="54"/>
      <c r="N311" s="54"/>
      <c r="O311" s="54" t="n">
        <v>-1284</v>
      </c>
      <c r="P311" s="54" t="n">
        <f aca="false">K311+SUM(L311:O311)</f>
        <v>1716</v>
      </c>
      <c r="Q311" s="54" t="n">
        <v>0</v>
      </c>
      <c r="R311" s="55" t="n">
        <f aca="false">Q311/$P311</f>
        <v>0</v>
      </c>
      <c r="S311" s="54" t="n">
        <v>0</v>
      </c>
      <c r="T311" s="55" t="n">
        <f aca="false">S311/$P311</f>
        <v>0</v>
      </c>
      <c r="U311" s="54" t="n">
        <v>0</v>
      </c>
      <c r="V311" s="55" t="n">
        <f aca="false">U311/$P311</f>
        <v>0</v>
      </c>
      <c r="W311" s="54" t="n">
        <v>288.6</v>
      </c>
      <c r="X311" s="56" t="n">
        <f aca="false">W311/$P311</f>
        <v>0.168181818181818</v>
      </c>
      <c r="Y311" s="54" t="n">
        <f aca="false">K311</f>
        <v>3000</v>
      </c>
      <c r="Z311" s="57" t="n">
        <f aca="false">Y311</f>
        <v>3000</v>
      </c>
    </row>
    <row r="312" customFormat="false" ht="13.9" hidden="true" customHeight="true" outlineLevel="0" collapsed="false">
      <c r="E312" s="52"/>
      <c r="F312" s="86" t="s">
        <v>218</v>
      </c>
      <c r="G312" s="54" t="n">
        <v>445.85</v>
      </c>
      <c r="H312" s="54" t="n">
        <v>0</v>
      </c>
      <c r="I312" s="54" t="n">
        <v>500</v>
      </c>
      <c r="J312" s="54" t="n">
        <v>0</v>
      </c>
      <c r="K312" s="54" t="n">
        <v>500</v>
      </c>
      <c r="L312" s="54"/>
      <c r="M312" s="54"/>
      <c r="N312" s="54"/>
      <c r="O312" s="54"/>
      <c r="P312" s="54" t="n">
        <f aca="false">K312+SUM(L312:O312)</f>
        <v>500</v>
      </c>
      <c r="Q312" s="54"/>
      <c r="R312" s="55" t="n">
        <f aca="false">Q312/$P312</f>
        <v>0</v>
      </c>
      <c r="S312" s="54"/>
      <c r="T312" s="55" t="n">
        <f aca="false">S312/$P312</f>
        <v>0</v>
      </c>
      <c r="U312" s="54"/>
      <c r="V312" s="55" t="n">
        <f aca="false">U312/$P312</f>
        <v>0</v>
      </c>
      <c r="W312" s="54"/>
      <c r="X312" s="56" t="n">
        <f aca="false">W312/$P312</f>
        <v>0</v>
      </c>
      <c r="Y312" s="54" t="n">
        <f aca="false">K312</f>
        <v>500</v>
      </c>
      <c r="Z312" s="57" t="n">
        <f aca="false">Y312</f>
        <v>500</v>
      </c>
    </row>
    <row r="313" customFormat="false" ht="13.9" hidden="false" customHeight="true" outlineLevel="0" collapsed="false"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S313" s="46"/>
      <c r="U313" s="46"/>
      <c r="W313" s="46"/>
      <c r="Y313" s="46"/>
      <c r="Z313" s="46"/>
    </row>
    <row r="314" customFormat="false" ht="13.9" hidden="false" customHeight="true" outlineLevel="0" collapsed="false">
      <c r="D314" s="60" t="s">
        <v>219</v>
      </c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1"/>
      <c r="S314" s="60"/>
      <c r="T314" s="61"/>
      <c r="U314" s="60"/>
      <c r="V314" s="61"/>
      <c r="W314" s="60"/>
      <c r="X314" s="61"/>
      <c r="Y314" s="60"/>
      <c r="Z314" s="60"/>
    </row>
    <row r="315" customFormat="false" ht="13.9" hidden="false" customHeight="true" outlineLevel="0" collapsed="false">
      <c r="D315" s="7" t="s">
        <v>33</v>
      </c>
      <c r="E315" s="7" t="s">
        <v>34</v>
      </c>
      <c r="F315" s="7" t="s">
        <v>35</v>
      </c>
      <c r="G315" s="7" t="s">
        <v>1</v>
      </c>
      <c r="H315" s="7" t="s">
        <v>2</v>
      </c>
      <c r="I315" s="7" t="s">
        <v>3</v>
      </c>
      <c r="J315" s="7" t="s">
        <v>4</v>
      </c>
      <c r="K315" s="7" t="s">
        <v>5</v>
      </c>
      <c r="L315" s="7" t="s">
        <v>6</v>
      </c>
      <c r="M315" s="7" t="s">
        <v>7</v>
      </c>
      <c r="N315" s="7" t="s">
        <v>8</v>
      </c>
      <c r="O315" s="7" t="s">
        <v>9</v>
      </c>
      <c r="P315" s="7" t="s">
        <v>10</v>
      </c>
      <c r="Q315" s="7" t="s">
        <v>11</v>
      </c>
      <c r="R315" s="8" t="s">
        <v>12</v>
      </c>
      <c r="S315" s="7" t="s">
        <v>13</v>
      </c>
      <c r="T315" s="8" t="s">
        <v>14</v>
      </c>
      <c r="U315" s="7" t="s">
        <v>15</v>
      </c>
      <c r="V315" s="8" t="s">
        <v>16</v>
      </c>
      <c r="W315" s="7" t="s">
        <v>17</v>
      </c>
      <c r="X315" s="8" t="s">
        <v>18</v>
      </c>
      <c r="Y315" s="7" t="s">
        <v>19</v>
      </c>
      <c r="Z315" s="7" t="s">
        <v>20</v>
      </c>
    </row>
    <row r="316" customFormat="false" ht="13.9" hidden="false" customHeight="true" outlineLevel="0" collapsed="false">
      <c r="A316" s="1" t="n">
        <v>5</v>
      </c>
      <c r="B316" s="1" t="n">
        <v>2</v>
      </c>
      <c r="C316" s="1" t="n">
        <v>2</v>
      </c>
      <c r="D316" s="74" t="s">
        <v>220</v>
      </c>
      <c r="E316" s="10" t="n">
        <v>630</v>
      </c>
      <c r="F316" s="10" t="s">
        <v>129</v>
      </c>
      <c r="G316" s="11" t="n">
        <v>1557.46</v>
      </c>
      <c r="H316" s="11" t="n">
        <v>52.9</v>
      </c>
      <c r="I316" s="11" t="n">
        <v>550</v>
      </c>
      <c r="J316" s="11" t="n">
        <v>3231.23</v>
      </c>
      <c r="K316" s="11" t="n">
        <v>1105</v>
      </c>
      <c r="L316" s="11" t="n">
        <v>1196</v>
      </c>
      <c r="M316" s="11" t="n">
        <v>2334</v>
      </c>
      <c r="N316" s="11" t="n">
        <v>3588</v>
      </c>
      <c r="O316" s="11" t="n">
        <f aca="false">1924+50</f>
        <v>1974</v>
      </c>
      <c r="P316" s="11" t="n">
        <f aca="false">K316+SUM(L316:O316)</f>
        <v>10197</v>
      </c>
      <c r="Q316" s="11" t="n">
        <v>433.24</v>
      </c>
      <c r="R316" s="12" t="n">
        <f aca="false">Q316/$P316</f>
        <v>0.0424870059821516</v>
      </c>
      <c r="S316" s="11" t="n">
        <v>1515.58</v>
      </c>
      <c r="T316" s="12" t="n">
        <f aca="false">S316/$P316</f>
        <v>0.148629989212513</v>
      </c>
      <c r="U316" s="11" t="n">
        <v>6704.47</v>
      </c>
      <c r="V316" s="12" t="n">
        <f aca="false">U316/$P316</f>
        <v>0.657494361086594</v>
      </c>
      <c r="W316" s="11" t="n">
        <v>10197.35</v>
      </c>
      <c r="X316" s="12" t="n">
        <f aca="false">W316/$P316</f>
        <v>1.00003432382073</v>
      </c>
      <c r="Y316" s="11" t="n">
        <f aca="false">K316</f>
        <v>1105</v>
      </c>
      <c r="Z316" s="11" t="n">
        <f aca="false">Y316</f>
        <v>1105</v>
      </c>
    </row>
    <row r="317" customFormat="false" ht="13.9" hidden="false" customHeight="true" outlineLevel="0" collapsed="false">
      <c r="A317" s="1" t="n">
        <v>5</v>
      </c>
      <c r="B317" s="1" t="n">
        <v>2</v>
      </c>
      <c r="C317" s="1" t="n">
        <v>2</v>
      </c>
      <c r="D317" s="67" t="s">
        <v>21</v>
      </c>
      <c r="E317" s="13" t="n">
        <v>41</v>
      </c>
      <c r="F317" s="13" t="s">
        <v>23</v>
      </c>
      <c r="G317" s="14" t="n">
        <f aca="false">SUM(G316:G316)</f>
        <v>1557.46</v>
      </c>
      <c r="H317" s="14" t="n">
        <f aca="false">SUM(H316:H316)</f>
        <v>52.9</v>
      </c>
      <c r="I317" s="14" t="n">
        <f aca="false">SUM(I316:I316)</f>
        <v>550</v>
      </c>
      <c r="J317" s="14" t="n">
        <f aca="false">SUM(J316:J316)</f>
        <v>3231.23</v>
      </c>
      <c r="K317" s="14" t="n">
        <f aca="false">SUM(K316:K316)</f>
        <v>1105</v>
      </c>
      <c r="L317" s="14" t="n">
        <f aca="false">SUM(L316:L316)</f>
        <v>1196</v>
      </c>
      <c r="M317" s="14" t="n">
        <f aca="false">SUM(M316:M316)</f>
        <v>2334</v>
      </c>
      <c r="N317" s="14" t="n">
        <f aca="false">SUM(N316:N316)</f>
        <v>3588</v>
      </c>
      <c r="O317" s="14" t="n">
        <f aca="false">SUM(O316:O316)</f>
        <v>1974</v>
      </c>
      <c r="P317" s="14" t="n">
        <f aca="false">SUM(P316:P316)</f>
        <v>10197</v>
      </c>
      <c r="Q317" s="14" t="n">
        <f aca="false">SUM(Q316:Q316)</f>
        <v>433.24</v>
      </c>
      <c r="R317" s="15" t="n">
        <f aca="false">Q317/$P317</f>
        <v>0.0424870059821516</v>
      </c>
      <c r="S317" s="14" t="n">
        <f aca="false">SUM(S316:S316)</f>
        <v>1515.58</v>
      </c>
      <c r="T317" s="15" t="n">
        <f aca="false">S317/$P317</f>
        <v>0.148629989212513</v>
      </c>
      <c r="U317" s="14" t="n">
        <f aca="false">SUM(U316:U316)</f>
        <v>6704.47</v>
      </c>
      <c r="V317" s="15" t="n">
        <f aca="false">U317/$P317</f>
        <v>0.657494361086594</v>
      </c>
      <c r="W317" s="14" t="n">
        <f aca="false">SUM(W316:W316)</f>
        <v>10197.35</v>
      </c>
      <c r="X317" s="15" t="n">
        <f aca="false">W317/$P317</f>
        <v>1.00003432382073</v>
      </c>
      <c r="Y317" s="14" t="n">
        <f aca="false">SUM(Y316:Y316)</f>
        <v>1105</v>
      </c>
      <c r="Z317" s="14" t="n">
        <f aca="false">SUM(Z316:Z316)</f>
        <v>1105</v>
      </c>
    </row>
    <row r="319" customFormat="false" ht="13.9" hidden="false" customHeight="true" outlineLevel="0" collapsed="false">
      <c r="E319" s="100" t="s">
        <v>57</v>
      </c>
      <c r="F319" s="106" t="s">
        <v>221</v>
      </c>
      <c r="G319" s="107"/>
      <c r="H319" s="107"/>
      <c r="I319" s="108" t="n">
        <v>550</v>
      </c>
      <c r="J319" s="108" t="n">
        <v>550</v>
      </c>
      <c r="K319" s="108" t="n">
        <v>245</v>
      </c>
      <c r="L319" s="108"/>
      <c r="M319" s="108" t="n">
        <v>1196</v>
      </c>
      <c r="N319" s="108"/>
      <c r="O319" s="108"/>
      <c r="P319" s="108" t="n">
        <f aca="false">K319+SUM(L319:O319)</f>
        <v>1441</v>
      </c>
      <c r="Q319" s="108" t="n">
        <v>433.24</v>
      </c>
      <c r="R319" s="109" t="n">
        <f aca="false">Q319/$P319</f>
        <v>0.300652324774462</v>
      </c>
      <c r="S319" s="108" t="n">
        <v>769.24</v>
      </c>
      <c r="T319" s="109" t="n">
        <f aca="false">S319/$P319</f>
        <v>0.53382373351839</v>
      </c>
      <c r="U319" s="108" t="n">
        <v>1105.24</v>
      </c>
      <c r="V319" s="109" t="n">
        <f aca="false">U319/$P319</f>
        <v>0.766995142262318</v>
      </c>
      <c r="W319" s="108" t="n">
        <v>1441.24</v>
      </c>
      <c r="X319" s="110" t="n">
        <f aca="false">W319/$P319</f>
        <v>1.00016655100625</v>
      </c>
      <c r="Y319" s="108" t="n">
        <f aca="false">K319</f>
        <v>245</v>
      </c>
      <c r="Z319" s="111" t="n">
        <f aca="false">Y319</f>
        <v>245</v>
      </c>
    </row>
    <row r="321" customFormat="false" ht="13.9" hidden="false" customHeight="true" outlineLevel="0" collapsed="false">
      <c r="D321" s="60" t="s">
        <v>222</v>
      </c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1"/>
      <c r="S321" s="60"/>
      <c r="T321" s="61"/>
      <c r="U321" s="60"/>
      <c r="V321" s="61"/>
      <c r="W321" s="60"/>
      <c r="X321" s="61"/>
      <c r="Y321" s="60"/>
      <c r="Z321" s="60"/>
    </row>
    <row r="322" customFormat="false" ht="13.9" hidden="false" customHeight="true" outlineLevel="0" collapsed="false">
      <c r="D322" s="7" t="s">
        <v>33</v>
      </c>
      <c r="E322" s="7" t="s">
        <v>34</v>
      </c>
      <c r="F322" s="7" t="s">
        <v>35</v>
      </c>
      <c r="G322" s="7" t="s">
        <v>1</v>
      </c>
      <c r="H322" s="7" t="s">
        <v>2</v>
      </c>
      <c r="I322" s="7" t="s">
        <v>3</v>
      </c>
      <c r="J322" s="7" t="s">
        <v>4</v>
      </c>
      <c r="K322" s="7" t="s">
        <v>5</v>
      </c>
      <c r="L322" s="7" t="s">
        <v>6</v>
      </c>
      <c r="M322" s="7" t="s">
        <v>7</v>
      </c>
      <c r="N322" s="7" t="s">
        <v>8</v>
      </c>
      <c r="O322" s="7" t="s">
        <v>9</v>
      </c>
      <c r="P322" s="7" t="s">
        <v>10</v>
      </c>
      <c r="Q322" s="7" t="s">
        <v>11</v>
      </c>
      <c r="R322" s="8" t="s">
        <v>12</v>
      </c>
      <c r="S322" s="7" t="s">
        <v>13</v>
      </c>
      <c r="T322" s="8" t="s">
        <v>14</v>
      </c>
      <c r="U322" s="7" t="s">
        <v>15</v>
      </c>
      <c r="V322" s="8" t="s">
        <v>16</v>
      </c>
      <c r="W322" s="7" t="s">
        <v>17</v>
      </c>
      <c r="X322" s="8" t="s">
        <v>18</v>
      </c>
      <c r="Y322" s="7" t="s">
        <v>19</v>
      </c>
      <c r="Z322" s="7" t="s">
        <v>20</v>
      </c>
    </row>
    <row r="323" customFormat="false" ht="13.9" hidden="false" customHeight="true" outlineLevel="0" collapsed="false">
      <c r="A323" s="1" t="n">
        <v>5</v>
      </c>
      <c r="B323" s="1" t="n">
        <v>2</v>
      </c>
      <c r="C323" s="1" t="n">
        <v>3</v>
      </c>
      <c r="D323" s="112" t="s">
        <v>220</v>
      </c>
      <c r="E323" s="10" t="n">
        <v>610</v>
      </c>
      <c r="F323" s="10" t="s">
        <v>127</v>
      </c>
      <c r="G323" s="11" t="n">
        <v>15965.95</v>
      </c>
      <c r="H323" s="11" t="n">
        <v>0</v>
      </c>
      <c r="I323" s="11" t="n">
        <v>0</v>
      </c>
      <c r="J323" s="11" t="n">
        <v>0</v>
      </c>
      <c r="K323" s="11" t="n">
        <v>0</v>
      </c>
      <c r="L323" s="11" t="n">
        <v>6120</v>
      </c>
      <c r="M323" s="11"/>
      <c r="N323" s="11"/>
      <c r="O323" s="11"/>
      <c r="P323" s="11" t="n">
        <f aca="false">K323+SUM(L323:O323)</f>
        <v>6120</v>
      </c>
      <c r="Q323" s="11" t="n">
        <v>0</v>
      </c>
      <c r="R323" s="12" t="n">
        <f aca="false">Q323/$P323</f>
        <v>0</v>
      </c>
      <c r="S323" s="11" t="n">
        <v>679.99</v>
      </c>
      <c r="T323" s="12" t="n">
        <f aca="false">S323/$P323</f>
        <v>0.111109477124183</v>
      </c>
      <c r="U323" s="11" t="n">
        <v>3399.97</v>
      </c>
      <c r="V323" s="12" t="n">
        <f aca="false">U323/$P323</f>
        <v>0.555550653594771</v>
      </c>
      <c r="W323" s="11" t="n">
        <v>6042.59</v>
      </c>
      <c r="X323" s="12" t="n">
        <f aca="false">W323/$P323</f>
        <v>0.987351307189543</v>
      </c>
      <c r="Y323" s="11" t="n">
        <v>0</v>
      </c>
      <c r="Z323" s="11" t="n">
        <f aca="false">Y323</f>
        <v>0</v>
      </c>
    </row>
    <row r="324" customFormat="false" ht="13.9" hidden="false" customHeight="true" outlineLevel="0" collapsed="false">
      <c r="A324" s="1" t="n">
        <v>5</v>
      </c>
      <c r="B324" s="1" t="n">
        <v>2</v>
      </c>
      <c r="C324" s="1" t="n">
        <v>3</v>
      </c>
      <c r="D324" s="112"/>
      <c r="E324" s="10" t="n">
        <v>620</v>
      </c>
      <c r="F324" s="10" t="s">
        <v>128</v>
      </c>
      <c r="G324" s="11" t="n">
        <v>5660.8</v>
      </c>
      <c r="H324" s="11" t="n">
        <v>0</v>
      </c>
      <c r="I324" s="11" t="n">
        <v>0</v>
      </c>
      <c r="J324" s="11" t="n">
        <v>0</v>
      </c>
      <c r="K324" s="11" t="n">
        <v>0</v>
      </c>
      <c r="L324" s="11" t="n">
        <v>2139</v>
      </c>
      <c r="M324" s="11"/>
      <c r="N324" s="11"/>
      <c r="O324" s="11"/>
      <c r="P324" s="11" t="n">
        <f aca="false">K324+SUM(L324:O324)</f>
        <v>2139</v>
      </c>
      <c r="Q324" s="11" t="n">
        <v>0</v>
      </c>
      <c r="R324" s="12" t="n">
        <f aca="false">Q324/$P324</f>
        <v>0</v>
      </c>
      <c r="S324" s="11" t="n">
        <v>237.66</v>
      </c>
      <c r="T324" s="12" t="n">
        <f aca="false">S324/$P324</f>
        <v>0.111107994389902</v>
      </c>
      <c r="U324" s="11" t="n">
        <v>1188.28</v>
      </c>
      <c r="V324" s="12" t="n">
        <f aca="false">U324/$P324</f>
        <v>0.555530621785881</v>
      </c>
      <c r="W324" s="11" t="n">
        <v>2247.7</v>
      </c>
      <c r="X324" s="12" t="n">
        <f aca="false">W324/$P324</f>
        <v>1.05081813931744</v>
      </c>
      <c r="Y324" s="11" t="n">
        <v>0</v>
      </c>
      <c r="Z324" s="11" t="n">
        <f aca="false">Y324</f>
        <v>0</v>
      </c>
    </row>
    <row r="325" customFormat="false" ht="13.9" hidden="false" customHeight="true" outlineLevel="0" collapsed="false">
      <c r="A325" s="1" t="n">
        <v>5</v>
      </c>
      <c r="B325" s="1" t="n">
        <v>2</v>
      </c>
      <c r="C325" s="1" t="n">
        <v>3</v>
      </c>
      <c r="D325" s="113" t="s">
        <v>21</v>
      </c>
      <c r="E325" s="76" t="s">
        <v>136</v>
      </c>
      <c r="F325" s="35" t="s">
        <v>223</v>
      </c>
      <c r="G325" s="36" t="n">
        <f aca="false">SUM(G323:G324)</f>
        <v>21626.75</v>
      </c>
      <c r="H325" s="36" t="n">
        <f aca="false">SUM(H323:H324)</f>
        <v>0</v>
      </c>
      <c r="I325" s="36" t="n">
        <f aca="false">SUM(I323:I324)</f>
        <v>0</v>
      </c>
      <c r="J325" s="36" t="n">
        <f aca="false">SUM(J323:J324)</f>
        <v>0</v>
      </c>
      <c r="K325" s="36" t="n">
        <f aca="false">SUM(K323:K324)</f>
        <v>0</v>
      </c>
      <c r="L325" s="36" t="n">
        <f aca="false">SUM(L323:L324)</f>
        <v>8259</v>
      </c>
      <c r="M325" s="36" t="n">
        <f aca="false">SUM(M323:M324)</f>
        <v>0</v>
      </c>
      <c r="N325" s="36" t="n">
        <f aca="false">SUM(N323:N324)</f>
        <v>0</v>
      </c>
      <c r="O325" s="36" t="n">
        <f aca="false">SUM(O323:O324)</f>
        <v>0</v>
      </c>
      <c r="P325" s="36" t="n">
        <f aca="false">SUM(P323:P324)</f>
        <v>8259</v>
      </c>
      <c r="Q325" s="36" t="n">
        <f aca="false">SUM(Q323:Q324)</f>
        <v>0</v>
      </c>
      <c r="R325" s="37" t="n">
        <f aca="false">Q325/$P325</f>
        <v>0</v>
      </c>
      <c r="S325" s="36" t="n">
        <f aca="false">SUM(S323:S324)</f>
        <v>917.65</v>
      </c>
      <c r="T325" s="37" t="n">
        <f aca="false">S325/$P325</f>
        <v>0.111109093110546</v>
      </c>
      <c r="U325" s="36" t="n">
        <f aca="false">SUM(U323:U324)</f>
        <v>4588.25</v>
      </c>
      <c r="V325" s="37" t="n">
        <f aca="false">U325/$P325</f>
        <v>0.55554546555273</v>
      </c>
      <c r="W325" s="36" t="n">
        <f aca="false">SUM(W323:W324)</f>
        <v>8290.29</v>
      </c>
      <c r="X325" s="37" t="n">
        <f aca="false">W325/$P325</f>
        <v>1.00378859426081</v>
      </c>
      <c r="Y325" s="36" t="n">
        <f aca="false">SUM(Y323:Y324)</f>
        <v>0</v>
      </c>
      <c r="Z325" s="36" t="n">
        <f aca="false">SUM(Z323:Z324)</f>
        <v>0</v>
      </c>
    </row>
    <row r="326" customFormat="false" ht="13.9" hidden="false" customHeight="true" outlineLevel="0" collapsed="false">
      <c r="A326" s="1" t="n">
        <v>5</v>
      </c>
      <c r="B326" s="1" t="n">
        <v>2</v>
      </c>
      <c r="C326" s="1" t="n">
        <v>3</v>
      </c>
      <c r="D326" s="112" t="s">
        <v>220</v>
      </c>
      <c r="E326" s="10" t="n">
        <v>610</v>
      </c>
      <c r="F326" s="10" t="s">
        <v>127</v>
      </c>
      <c r="G326" s="11" t="n">
        <v>2118.69</v>
      </c>
      <c r="H326" s="11" t="n">
        <v>101.64</v>
      </c>
      <c r="I326" s="11" t="n">
        <v>10074</v>
      </c>
      <c r="J326" s="11" t="n">
        <v>4962.93</v>
      </c>
      <c r="K326" s="11" t="n">
        <v>2269</v>
      </c>
      <c r="L326" s="11" t="n">
        <v>-739</v>
      </c>
      <c r="M326" s="11" t="n">
        <v>1708</v>
      </c>
      <c r="N326" s="11" t="n">
        <v>750</v>
      </c>
      <c r="O326" s="11" t="n">
        <f aca="false">97+77</f>
        <v>174</v>
      </c>
      <c r="P326" s="11" t="n">
        <f aca="false">K326+SUM(L326:O326)</f>
        <v>4162</v>
      </c>
      <c r="Q326" s="11" t="n">
        <v>0</v>
      </c>
      <c r="R326" s="12" t="n">
        <f aca="false">Q326/$P326</f>
        <v>0</v>
      </c>
      <c r="S326" s="11" t="n">
        <v>2068.56</v>
      </c>
      <c r="T326" s="12" t="n">
        <f aca="false">S326/$P326</f>
        <v>0.497011052378664</v>
      </c>
      <c r="U326" s="11" t="n">
        <v>2853.58</v>
      </c>
      <c r="V326" s="12" t="n">
        <f aca="false">U326/$P326</f>
        <v>0.685627102354637</v>
      </c>
      <c r="W326" s="11" t="n">
        <v>4162.46</v>
      </c>
      <c r="X326" s="12" t="n">
        <f aca="false">W326/$P326</f>
        <v>1.00011052378664</v>
      </c>
      <c r="Y326" s="11" t="n">
        <v>2337</v>
      </c>
      <c r="Z326" s="11" t="n">
        <v>2407</v>
      </c>
    </row>
    <row r="327" customFormat="false" ht="13.9" hidden="false" customHeight="true" outlineLevel="0" collapsed="false">
      <c r="A327" s="1" t="n">
        <v>5</v>
      </c>
      <c r="B327" s="1" t="n">
        <v>2</v>
      </c>
      <c r="C327" s="1" t="n">
        <v>3</v>
      </c>
      <c r="D327" s="112"/>
      <c r="E327" s="10" t="n">
        <v>620</v>
      </c>
      <c r="F327" s="10" t="s">
        <v>128</v>
      </c>
      <c r="G327" s="11" t="n">
        <v>670.17</v>
      </c>
      <c r="H327" s="11" t="n">
        <v>35.48</v>
      </c>
      <c r="I327" s="11" t="n">
        <v>3118</v>
      </c>
      <c r="J327" s="11" t="n">
        <v>1411.87</v>
      </c>
      <c r="K327" s="11" t="n">
        <v>703</v>
      </c>
      <c r="L327" s="11" t="n">
        <v>-102</v>
      </c>
      <c r="M327" s="11" t="n">
        <v>537</v>
      </c>
      <c r="N327" s="11" t="n">
        <v>237</v>
      </c>
      <c r="O327" s="11" t="n">
        <f aca="false">-19-77</f>
        <v>-96</v>
      </c>
      <c r="P327" s="11" t="n">
        <f aca="false">K327+SUM(L327:O327)</f>
        <v>1279</v>
      </c>
      <c r="Q327" s="11" t="n">
        <v>0</v>
      </c>
      <c r="R327" s="12" t="n">
        <f aca="false">Q327/$P327</f>
        <v>0</v>
      </c>
      <c r="S327" s="11" t="n">
        <v>715.96</v>
      </c>
      <c r="T327" s="12" t="n">
        <f aca="false">S327/$P327</f>
        <v>0.559781078967944</v>
      </c>
      <c r="U327" s="11" t="n">
        <v>956.86</v>
      </c>
      <c r="V327" s="12" t="n">
        <f aca="false">U327/$P327</f>
        <v>0.748131352619234</v>
      </c>
      <c r="W327" s="11" t="n">
        <v>1246.9</v>
      </c>
      <c r="X327" s="12" t="n">
        <f aca="false">W327/$P327</f>
        <v>0.974902267396404</v>
      </c>
      <c r="Y327" s="11" t="n">
        <v>724</v>
      </c>
      <c r="Z327" s="11" t="n">
        <v>745</v>
      </c>
    </row>
    <row r="328" customFormat="false" ht="13.9" hidden="false" customHeight="true" outlineLevel="0" collapsed="false">
      <c r="A328" s="1" t="n">
        <v>5</v>
      </c>
      <c r="B328" s="1" t="n">
        <v>2</v>
      </c>
      <c r="C328" s="1" t="n">
        <v>3</v>
      </c>
      <c r="D328" s="112"/>
      <c r="E328" s="10" t="n">
        <v>630</v>
      </c>
      <c r="F328" s="10" t="s">
        <v>129</v>
      </c>
      <c r="G328" s="11" t="n">
        <v>2209.13</v>
      </c>
      <c r="H328" s="11" t="n">
        <v>1.28</v>
      </c>
      <c r="I328" s="11" t="n">
        <v>1256</v>
      </c>
      <c r="J328" s="11" t="n">
        <v>51.48</v>
      </c>
      <c r="K328" s="11" t="n">
        <f aca="false">21+150</f>
        <v>171</v>
      </c>
      <c r="L328" s="11" t="n">
        <v>729</v>
      </c>
      <c r="M328" s="11"/>
      <c r="N328" s="11"/>
      <c r="O328" s="11" t="n">
        <v>23</v>
      </c>
      <c r="P328" s="11" t="n">
        <f aca="false">K328+SUM(L328:O328)</f>
        <v>923</v>
      </c>
      <c r="Q328" s="11" t="n">
        <v>89.7</v>
      </c>
      <c r="R328" s="12" t="n">
        <f aca="false">Q328/$P328</f>
        <v>0.0971830985915493</v>
      </c>
      <c r="S328" s="11" t="n">
        <v>481.75</v>
      </c>
      <c r="T328" s="12" t="n">
        <f aca="false">S328/$P328</f>
        <v>0.521939328277357</v>
      </c>
      <c r="U328" s="11" t="n">
        <v>736.95</v>
      </c>
      <c r="V328" s="12" t="n">
        <f aca="false">U328/$P328</f>
        <v>0.798429035752979</v>
      </c>
      <c r="W328" s="11" t="n">
        <v>922.62</v>
      </c>
      <c r="X328" s="12" t="n">
        <f aca="false">W328/$P328</f>
        <v>0.999588299024919</v>
      </c>
      <c r="Y328" s="11" t="n">
        <f aca="false">22+150</f>
        <v>172</v>
      </c>
      <c r="Z328" s="11" t="n">
        <f aca="false">22+150</f>
        <v>172</v>
      </c>
    </row>
    <row r="329" customFormat="false" ht="13.9" hidden="true" customHeight="true" outlineLevel="0" collapsed="false">
      <c r="A329" s="1" t="n">
        <v>5</v>
      </c>
      <c r="B329" s="1" t="n">
        <v>2</v>
      </c>
      <c r="C329" s="1" t="n">
        <v>3</v>
      </c>
      <c r="D329" s="112"/>
      <c r="E329" s="10" t="n">
        <v>640</v>
      </c>
      <c r="F329" s="10" t="s">
        <v>130</v>
      </c>
      <c r="G329" s="11" t="n">
        <v>198.42</v>
      </c>
      <c r="H329" s="11" t="n">
        <v>0</v>
      </c>
      <c r="I329" s="11" t="n">
        <v>0</v>
      </c>
      <c r="J329" s="11" t="n">
        <v>0</v>
      </c>
      <c r="K329" s="11" t="n">
        <v>0</v>
      </c>
      <c r="L329" s="11"/>
      <c r="M329" s="11"/>
      <c r="N329" s="11"/>
      <c r="O329" s="11"/>
      <c r="P329" s="11" t="n">
        <f aca="false">K329+SUM(L329:O329)</f>
        <v>0</v>
      </c>
      <c r="Q329" s="11" t="n">
        <v>0</v>
      </c>
      <c r="R329" s="12" t="e">
        <f aca="false">Q329/$P329</f>
        <v>#DIV/0!</v>
      </c>
      <c r="S329" s="11" t="n">
        <v>0</v>
      </c>
      <c r="T329" s="12" t="e">
        <f aca="false">S329/$P329</f>
        <v>#DIV/0!</v>
      </c>
      <c r="U329" s="11" t="n">
        <v>0</v>
      </c>
      <c r="V329" s="12" t="e">
        <f aca="false">U329/$P329</f>
        <v>#DIV/0!</v>
      </c>
      <c r="W329" s="11" t="n">
        <v>0</v>
      </c>
      <c r="X329" s="12" t="e">
        <f aca="false">W329/$P329</f>
        <v>#DIV/0!</v>
      </c>
      <c r="Y329" s="11" t="n">
        <v>0</v>
      </c>
      <c r="Z329" s="11" t="n">
        <f aca="false">Y329</f>
        <v>0</v>
      </c>
    </row>
    <row r="330" customFormat="false" ht="13.9" hidden="false" customHeight="true" outlineLevel="0" collapsed="false">
      <c r="A330" s="1" t="n">
        <v>5</v>
      </c>
      <c r="B330" s="1" t="n">
        <v>2</v>
      </c>
      <c r="C330" s="1" t="n">
        <v>3</v>
      </c>
      <c r="D330" s="113" t="s">
        <v>21</v>
      </c>
      <c r="E330" s="35" t="n">
        <v>41</v>
      </c>
      <c r="F330" s="35" t="s">
        <v>23</v>
      </c>
      <c r="G330" s="36" t="n">
        <f aca="false">SUM(G326:G329)</f>
        <v>5196.41</v>
      </c>
      <c r="H330" s="36" t="n">
        <f aca="false">SUM(H326:H329)</f>
        <v>138.4</v>
      </c>
      <c r="I330" s="36" t="n">
        <f aca="false">SUM(I326:I329)</f>
        <v>14448</v>
      </c>
      <c r="J330" s="36" t="n">
        <f aca="false">SUM(J326:J329)</f>
        <v>6426.28</v>
      </c>
      <c r="K330" s="36" t="n">
        <f aca="false">SUM(K326:K329)</f>
        <v>3143</v>
      </c>
      <c r="L330" s="36" t="n">
        <f aca="false">SUM(L326:L329)</f>
        <v>-112</v>
      </c>
      <c r="M330" s="36" t="n">
        <f aca="false">SUM(M326:M329)</f>
        <v>2245</v>
      </c>
      <c r="N330" s="36" t="n">
        <f aca="false">SUM(N326:N329)</f>
        <v>987</v>
      </c>
      <c r="O330" s="36" t="n">
        <f aca="false">SUM(O326:O329)</f>
        <v>101</v>
      </c>
      <c r="P330" s="36" t="n">
        <f aca="false">SUM(P326:P329)</f>
        <v>6364</v>
      </c>
      <c r="Q330" s="36" t="n">
        <f aca="false">SUM(Q326:Q329)</f>
        <v>89.7</v>
      </c>
      <c r="R330" s="37" t="n">
        <f aca="false">Q330/$P330</f>
        <v>0.0140949088623507</v>
      </c>
      <c r="S330" s="36" t="n">
        <f aca="false">SUM(S326:S329)</f>
        <v>3266.27</v>
      </c>
      <c r="T330" s="37" t="n">
        <f aca="false">S330/$P330</f>
        <v>0.513241671904463</v>
      </c>
      <c r="U330" s="36" t="n">
        <f aca="false">SUM(U326:U329)</f>
        <v>4547.39</v>
      </c>
      <c r="V330" s="37" t="n">
        <f aca="false">U330/$P330</f>
        <v>0.714549025769956</v>
      </c>
      <c r="W330" s="36" t="n">
        <f aca="false">SUM(W326:W329)</f>
        <v>6331.98</v>
      </c>
      <c r="X330" s="37" t="n">
        <f aca="false">W330/$P330</f>
        <v>0.994968573224387</v>
      </c>
      <c r="Y330" s="36" t="n">
        <f aca="false">SUM(Y326:Y329)</f>
        <v>3233</v>
      </c>
      <c r="Z330" s="36" t="n">
        <f aca="false">SUM(Z326:Z329)</f>
        <v>3324</v>
      </c>
    </row>
    <row r="331" customFormat="false" ht="13.9" hidden="false" customHeight="true" outlineLevel="0" collapsed="false">
      <c r="A331" s="1" t="n">
        <v>5</v>
      </c>
      <c r="B331" s="1" t="n">
        <v>2</v>
      </c>
      <c r="C331" s="1" t="n">
        <v>3</v>
      </c>
      <c r="D331" s="114" t="s">
        <v>220</v>
      </c>
      <c r="E331" s="10" t="n">
        <v>640</v>
      </c>
      <c r="F331" s="10" t="s">
        <v>130</v>
      </c>
      <c r="G331" s="11" t="n">
        <v>303.74</v>
      </c>
      <c r="H331" s="11" t="n">
        <v>0</v>
      </c>
      <c r="I331" s="11" t="n">
        <v>165</v>
      </c>
      <c r="J331" s="11" t="n">
        <v>0</v>
      </c>
      <c r="K331" s="11" t="n">
        <v>0</v>
      </c>
      <c r="L331" s="11"/>
      <c r="M331" s="11"/>
      <c r="N331" s="11"/>
      <c r="O331" s="11" t="n">
        <v>138</v>
      </c>
      <c r="P331" s="11" t="n">
        <f aca="false">K331+SUM(L331:O331)</f>
        <v>138</v>
      </c>
      <c r="Q331" s="11" t="n">
        <v>0</v>
      </c>
      <c r="R331" s="12" t="n">
        <f aca="false">Q331/$P331</f>
        <v>0</v>
      </c>
      <c r="S331" s="11" t="n">
        <v>0</v>
      </c>
      <c r="T331" s="12" t="n">
        <f aca="false">S331/$P331</f>
        <v>0</v>
      </c>
      <c r="U331" s="11" t="n">
        <v>0</v>
      </c>
      <c r="V331" s="12" t="n">
        <f aca="false">U331/$P331</f>
        <v>0</v>
      </c>
      <c r="W331" s="11" t="n">
        <v>138.36</v>
      </c>
      <c r="X331" s="12" t="n">
        <f aca="false">W331/$P331</f>
        <v>1.00260869565217</v>
      </c>
      <c r="Y331" s="11" t="n">
        <v>0</v>
      </c>
      <c r="Z331" s="11" t="n">
        <v>0</v>
      </c>
    </row>
    <row r="332" customFormat="false" ht="13.9" hidden="false" customHeight="true" outlineLevel="0" collapsed="false">
      <c r="A332" s="1" t="n">
        <v>5</v>
      </c>
      <c r="B332" s="1" t="n">
        <v>2</v>
      </c>
      <c r="C332" s="1" t="n">
        <v>3</v>
      </c>
      <c r="D332" s="113" t="s">
        <v>21</v>
      </c>
      <c r="E332" s="35" t="n">
        <v>72</v>
      </c>
      <c r="F332" s="35" t="s">
        <v>25</v>
      </c>
      <c r="G332" s="36" t="n">
        <f aca="false">SUM(G331:G331)</f>
        <v>303.74</v>
      </c>
      <c r="H332" s="36" t="n">
        <f aca="false">SUM(H331:H331)</f>
        <v>0</v>
      </c>
      <c r="I332" s="36" t="n">
        <f aca="false">SUM(I331:I331)</f>
        <v>165</v>
      </c>
      <c r="J332" s="36" t="n">
        <f aca="false">SUM(J331:J331)</f>
        <v>0</v>
      </c>
      <c r="K332" s="36" t="n">
        <f aca="false">SUM(K331:K331)</f>
        <v>0</v>
      </c>
      <c r="L332" s="36" t="n">
        <f aca="false">SUM(L331:L331)</f>
        <v>0</v>
      </c>
      <c r="M332" s="36" t="n">
        <f aca="false">SUM(M331:M331)</f>
        <v>0</v>
      </c>
      <c r="N332" s="36" t="n">
        <f aca="false">SUM(N331:N331)</f>
        <v>0</v>
      </c>
      <c r="O332" s="36" t="n">
        <f aca="false">SUM(O331:O331)</f>
        <v>138</v>
      </c>
      <c r="P332" s="36" t="n">
        <f aca="false">SUM(P331:P331)</f>
        <v>138</v>
      </c>
      <c r="Q332" s="36" t="n">
        <f aca="false">SUM(Q331:Q331)</f>
        <v>0</v>
      </c>
      <c r="R332" s="37" t="n">
        <f aca="false">Q332/$P332</f>
        <v>0</v>
      </c>
      <c r="S332" s="36" t="n">
        <f aca="false">SUM(S331:S331)</f>
        <v>0</v>
      </c>
      <c r="T332" s="37" t="n">
        <f aca="false">S332/$P332</f>
        <v>0</v>
      </c>
      <c r="U332" s="36" t="n">
        <f aca="false">SUM(U331:U331)</f>
        <v>0</v>
      </c>
      <c r="V332" s="37" t="n">
        <f aca="false">U332/$P332</f>
        <v>0</v>
      </c>
      <c r="W332" s="36" t="n">
        <f aca="false">SUM(W331:W331)</f>
        <v>138.36</v>
      </c>
      <c r="X332" s="37" t="n">
        <f aca="false">W332/$P332</f>
        <v>1.00260869565217</v>
      </c>
      <c r="Y332" s="36" t="n">
        <f aca="false">SUM(Y331:Y331)</f>
        <v>0</v>
      </c>
      <c r="Z332" s="36" t="n">
        <f aca="false">SUM(Z331:Z331)</f>
        <v>0</v>
      </c>
    </row>
    <row r="333" customFormat="false" ht="13.9" hidden="false" customHeight="true" outlineLevel="0" collapsed="false">
      <c r="A333" s="1" t="n">
        <v>5</v>
      </c>
      <c r="B333" s="1" t="n">
        <v>2</v>
      </c>
      <c r="C333" s="1" t="n">
        <v>3</v>
      </c>
      <c r="D333" s="17"/>
      <c r="E333" s="18"/>
      <c r="F333" s="13" t="s">
        <v>122</v>
      </c>
      <c r="G333" s="14" t="n">
        <f aca="false">G325+G330+G332</f>
        <v>27126.9</v>
      </c>
      <c r="H333" s="14" t="n">
        <f aca="false">H325+H330+H332</f>
        <v>138.4</v>
      </c>
      <c r="I333" s="14" t="n">
        <f aca="false">I325+I330+I332</f>
        <v>14613</v>
      </c>
      <c r="J333" s="14" t="n">
        <f aca="false">J325+J330+J332</f>
        <v>6426.28</v>
      </c>
      <c r="K333" s="14" t="n">
        <f aca="false">K325+K330+K332</f>
        <v>3143</v>
      </c>
      <c r="L333" s="14" t="n">
        <f aca="false">L325+L330+L332</f>
        <v>8147</v>
      </c>
      <c r="M333" s="14" t="n">
        <f aca="false">M325+M330+M332</f>
        <v>2245</v>
      </c>
      <c r="N333" s="14" t="n">
        <f aca="false">N325+N330+N332</f>
        <v>987</v>
      </c>
      <c r="O333" s="14" t="n">
        <f aca="false">O325+O330+O332</f>
        <v>239</v>
      </c>
      <c r="P333" s="14" t="n">
        <f aca="false">P325+P330+P332</f>
        <v>14761</v>
      </c>
      <c r="Q333" s="14" t="n">
        <f aca="false">Q325+Q330+Q332</f>
        <v>89.7</v>
      </c>
      <c r="R333" s="15" t="n">
        <f aca="false">Q333/$P333</f>
        <v>0.00607682406341034</v>
      </c>
      <c r="S333" s="14" t="n">
        <f aca="false">S325+S330+S332</f>
        <v>4183.92</v>
      </c>
      <c r="T333" s="15" t="n">
        <f aca="false">S333/$P333</f>
        <v>0.283444211096809</v>
      </c>
      <c r="U333" s="14" t="n">
        <f aca="false">U325+U330+U332</f>
        <v>9135.64</v>
      </c>
      <c r="V333" s="15" t="n">
        <f aca="false">U333/$P333</f>
        <v>0.618903868301606</v>
      </c>
      <c r="W333" s="14" t="n">
        <f aca="false">W325+W330+W332</f>
        <v>14760.63</v>
      </c>
      <c r="X333" s="15" t="n">
        <f aca="false">W333/$P333</f>
        <v>0.999974933947565</v>
      </c>
      <c r="Y333" s="14" t="n">
        <f aca="false">Y325+Y330+Y332</f>
        <v>3233</v>
      </c>
      <c r="Z333" s="14" t="n">
        <f aca="false">Z325+Z330+Z332</f>
        <v>3324</v>
      </c>
    </row>
    <row r="335" customFormat="false" ht="13.9" hidden="false" customHeight="true" outlineLevel="0" collapsed="false">
      <c r="D335" s="19" t="s">
        <v>224</v>
      </c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20"/>
      <c r="S335" s="19"/>
      <c r="T335" s="20"/>
      <c r="U335" s="19"/>
      <c r="V335" s="20"/>
      <c r="W335" s="19"/>
      <c r="X335" s="20"/>
      <c r="Y335" s="19"/>
      <c r="Z335" s="19"/>
    </row>
    <row r="336" customFormat="false" ht="13.9" hidden="false" customHeight="true" outlineLevel="0" collapsed="false">
      <c r="D336" s="6"/>
      <c r="E336" s="6"/>
      <c r="F336" s="6"/>
      <c r="G336" s="7" t="s">
        <v>1</v>
      </c>
      <c r="H336" s="7" t="s">
        <v>2</v>
      </c>
      <c r="I336" s="7" t="s">
        <v>3</v>
      </c>
      <c r="J336" s="7" t="s">
        <v>4</v>
      </c>
      <c r="K336" s="7" t="s">
        <v>5</v>
      </c>
      <c r="L336" s="7" t="s">
        <v>6</v>
      </c>
      <c r="M336" s="7" t="s">
        <v>7</v>
      </c>
      <c r="N336" s="7" t="s">
        <v>8</v>
      </c>
      <c r="O336" s="7" t="s">
        <v>9</v>
      </c>
      <c r="P336" s="7" t="s">
        <v>10</v>
      </c>
      <c r="Q336" s="7" t="s">
        <v>11</v>
      </c>
      <c r="R336" s="8" t="s">
        <v>12</v>
      </c>
      <c r="S336" s="7" t="s">
        <v>13</v>
      </c>
      <c r="T336" s="8" t="s">
        <v>14</v>
      </c>
      <c r="U336" s="7" t="s">
        <v>15</v>
      </c>
      <c r="V336" s="8" t="s">
        <v>16</v>
      </c>
      <c r="W336" s="7" t="s">
        <v>17</v>
      </c>
      <c r="X336" s="8" t="s">
        <v>18</v>
      </c>
      <c r="Y336" s="7" t="s">
        <v>19</v>
      </c>
      <c r="Z336" s="7" t="s">
        <v>20</v>
      </c>
    </row>
    <row r="337" customFormat="false" ht="13.9" hidden="true" customHeight="true" outlineLevel="0" collapsed="false">
      <c r="A337" s="1" t="n">
        <v>6</v>
      </c>
      <c r="D337" s="21" t="s">
        <v>21</v>
      </c>
      <c r="E337" s="22" t="n">
        <v>111</v>
      </c>
      <c r="F337" s="22" t="s">
        <v>132</v>
      </c>
      <c r="G337" s="23" t="n">
        <f aca="false">G343</f>
        <v>1625</v>
      </c>
      <c r="H337" s="23" t="n">
        <f aca="false">H343</f>
        <v>366.13</v>
      </c>
      <c r="I337" s="23" t="n">
        <f aca="false">I343</f>
        <v>0</v>
      </c>
      <c r="J337" s="23" t="n">
        <f aca="false">J343</f>
        <v>0</v>
      </c>
      <c r="K337" s="23" t="n">
        <f aca="false">K343</f>
        <v>0</v>
      </c>
      <c r="L337" s="23" t="n">
        <f aca="false">L343</f>
        <v>0</v>
      </c>
      <c r="M337" s="23" t="n">
        <f aca="false">M343</f>
        <v>0</v>
      </c>
      <c r="N337" s="23" t="n">
        <f aca="false">N343</f>
        <v>0</v>
      </c>
      <c r="O337" s="23" t="n">
        <f aca="false">O343</f>
        <v>0</v>
      </c>
      <c r="P337" s="23" t="n">
        <f aca="false">P343</f>
        <v>0</v>
      </c>
      <c r="Q337" s="23" t="n">
        <f aca="false">Q343</f>
        <v>0</v>
      </c>
      <c r="R337" s="24" t="e">
        <f aca="false">Q337/$P337</f>
        <v>#DIV/0!</v>
      </c>
      <c r="S337" s="23" t="n">
        <f aca="false">S343</f>
        <v>0</v>
      </c>
      <c r="T337" s="24" t="e">
        <f aca="false">S337/$P337</f>
        <v>#DIV/0!</v>
      </c>
      <c r="U337" s="23" t="n">
        <f aca="false">U343</f>
        <v>0</v>
      </c>
      <c r="V337" s="24" t="e">
        <f aca="false">U337/$P337</f>
        <v>#DIV/0!</v>
      </c>
      <c r="W337" s="23" t="n">
        <f aca="false">W343</f>
        <v>0</v>
      </c>
      <c r="X337" s="24" t="e">
        <f aca="false">W337/$P337</f>
        <v>#DIV/0!</v>
      </c>
      <c r="Y337" s="23" t="n">
        <f aca="false">Y343</f>
        <v>0</v>
      </c>
      <c r="Z337" s="23" t="n">
        <f aca="false">Z343</f>
        <v>0</v>
      </c>
    </row>
    <row r="338" customFormat="false" ht="13.9" hidden="false" customHeight="true" outlineLevel="0" collapsed="false">
      <c r="A338" s="1" t="n">
        <v>6</v>
      </c>
      <c r="D338" s="21" t="s">
        <v>21</v>
      </c>
      <c r="E338" s="22" t="n">
        <v>41</v>
      </c>
      <c r="F338" s="22" t="s">
        <v>23</v>
      </c>
      <c r="G338" s="23" t="n">
        <f aca="false">G344+G372+G407</f>
        <v>45752.65</v>
      </c>
      <c r="H338" s="23" t="n">
        <f aca="false">H344+H372+H407</f>
        <v>28532.59</v>
      </c>
      <c r="I338" s="23" t="n">
        <f aca="false">I344+I372+I407</f>
        <v>37031</v>
      </c>
      <c r="J338" s="23" t="n">
        <f aca="false">J344+J372+J407</f>
        <v>31741.68</v>
      </c>
      <c r="K338" s="23" t="n">
        <f aca="false">K344+K372+K407</f>
        <v>35412</v>
      </c>
      <c r="L338" s="23" t="n">
        <f aca="false">L344+L372+L407</f>
        <v>542</v>
      </c>
      <c r="M338" s="23" t="n">
        <f aca="false">M344+M372+M407</f>
        <v>1734</v>
      </c>
      <c r="N338" s="23" t="n">
        <f aca="false">N344+N372+N407</f>
        <v>416</v>
      </c>
      <c r="O338" s="23" t="n">
        <f aca="false">O344+O372+O407</f>
        <v>2313</v>
      </c>
      <c r="P338" s="23" t="n">
        <f aca="false">P344+P372+P407</f>
        <v>40417</v>
      </c>
      <c r="Q338" s="23" t="n">
        <f aca="false">Q344+Q372+Q407</f>
        <v>15660.87</v>
      </c>
      <c r="R338" s="24" t="n">
        <f aca="false">Q338/$P338</f>
        <v>0.387482247569092</v>
      </c>
      <c r="S338" s="23" t="n">
        <f aca="false">S344+S372+S407</f>
        <v>20988.97</v>
      </c>
      <c r="T338" s="24" t="n">
        <f aca="false">S338/$P338</f>
        <v>0.519310438676795</v>
      </c>
      <c r="U338" s="23" t="n">
        <f aca="false">U344+U372+U407</f>
        <v>31152.89</v>
      </c>
      <c r="V338" s="24" t="n">
        <f aca="false">U338/$P338</f>
        <v>0.770786797634659</v>
      </c>
      <c r="W338" s="23" t="n">
        <f aca="false">W344+W372+W407</f>
        <v>39882.36</v>
      </c>
      <c r="X338" s="24" t="n">
        <f aca="false">W338/$P338</f>
        <v>0.986771902912141</v>
      </c>
      <c r="Y338" s="23" t="n">
        <f aca="false">Y344+Y372+Y407</f>
        <v>35412</v>
      </c>
      <c r="Z338" s="23" t="n">
        <f aca="false">Z344+Z372+Z407</f>
        <v>35412</v>
      </c>
    </row>
    <row r="339" customFormat="false" ht="13.9" hidden="false" customHeight="true" outlineLevel="0" collapsed="false">
      <c r="A339" s="1" t="n">
        <v>6</v>
      </c>
      <c r="D339" s="17"/>
      <c r="E339" s="18"/>
      <c r="F339" s="25" t="s">
        <v>122</v>
      </c>
      <c r="G339" s="26" t="n">
        <f aca="false">SUM(G337:G338)</f>
        <v>47377.65</v>
      </c>
      <c r="H339" s="26" t="n">
        <f aca="false">SUM(H337:H338)</f>
        <v>28898.72</v>
      </c>
      <c r="I339" s="26" t="n">
        <f aca="false">SUM(I337:I338)</f>
        <v>37031</v>
      </c>
      <c r="J339" s="26" t="n">
        <f aca="false">SUM(J337:J338)</f>
        <v>31741.68</v>
      </c>
      <c r="K339" s="26" t="n">
        <f aca="false">SUM(K337:K338)</f>
        <v>35412</v>
      </c>
      <c r="L339" s="26" t="n">
        <f aca="false">SUM(L337:L338)</f>
        <v>542</v>
      </c>
      <c r="M339" s="26" t="n">
        <f aca="false">SUM(M337:M338)</f>
        <v>1734</v>
      </c>
      <c r="N339" s="26" t="n">
        <f aca="false">SUM(N337:N338)</f>
        <v>416</v>
      </c>
      <c r="O339" s="26" t="n">
        <f aca="false">SUM(O337:O338)</f>
        <v>2313</v>
      </c>
      <c r="P339" s="26" t="n">
        <f aca="false">SUM(P337:P338)</f>
        <v>40417</v>
      </c>
      <c r="Q339" s="26" t="n">
        <f aca="false">SUM(Q337:Q338)</f>
        <v>15660.87</v>
      </c>
      <c r="R339" s="27" t="n">
        <f aca="false">Q339/$P339</f>
        <v>0.387482247569092</v>
      </c>
      <c r="S339" s="26" t="n">
        <f aca="false">SUM(S337:S338)</f>
        <v>20988.97</v>
      </c>
      <c r="T339" s="27" t="n">
        <f aca="false">S339/$P339</f>
        <v>0.519310438676795</v>
      </c>
      <c r="U339" s="26" t="n">
        <f aca="false">SUM(U337:U338)</f>
        <v>31152.89</v>
      </c>
      <c r="V339" s="27" t="n">
        <f aca="false">U339/$P339</f>
        <v>0.770786797634659</v>
      </c>
      <c r="W339" s="26" t="n">
        <f aca="false">SUM(W337:W338)</f>
        <v>39882.36</v>
      </c>
      <c r="X339" s="27" t="n">
        <f aca="false">W339/$P339</f>
        <v>0.986771902912141</v>
      </c>
      <c r="Y339" s="26" t="n">
        <f aca="false">SUM(Y337:Y338)</f>
        <v>35412</v>
      </c>
      <c r="Z339" s="26" t="n">
        <f aca="false">SUM(Z337:Z338)</f>
        <v>35412</v>
      </c>
    </row>
    <row r="341" customFormat="false" ht="13.9" hidden="false" customHeight="true" outlineLevel="0" collapsed="false">
      <c r="D341" s="28" t="s">
        <v>225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9"/>
      <c r="S341" s="28"/>
      <c r="T341" s="29"/>
      <c r="U341" s="28"/>
      <c r="V341" s="29"/>
      <c r="W341" s="28"/>
      <c r="X341" s="29"/>
      <c r="Y341" s="28"/>
      <c r="Z341" s="28"/>
    </row>
    <row r="342" customFormat="false" ht="13.9" hidden="false" customHeight="true" outlineLevel="0" collapsed="false">
      <c r="D342" s="105"/>
      <c r="E342" s="105"/>
      <c r="F342" s="105"/>
      <c r="G342" s="7" t="s">
        <v>1</v>
      </c>
      <c r="H342" s="7" t="s">
        <v>2</v>
      </c>
      <c r="I342" s="7" t="s">
        <v>3</v>
      </c>
      <c r="J342" s="7" t="s">
        <v>4</v>
      </c>
      <c r="K342" s="7" t="s">
        <v>5</v>
      </c>
      <c r="L342" s="7" t="s">
        <v>6</v>
      </c>
      <c r="M342" s="7" t="s">
        <v>7</v>
      </c>
      <c r="N342" s="7" t="s">
        <v>8</v>
      </c>
      <c r="O342" s="7" t="s">
        <v>9</v>
      </c>
      <c r="P342" s="7" t="s">
        <v>10</v>
      </c>
      <c r="Q342" s="7" t="s">
        <v>11</v>
      </c>
      <c r="R342" s="8" t="s">
        <v>12</v>
      </c>
      <c r="S342" s="7" t="s">
        <v>13</v>
      </c>
      <c r="T342" s="8" t="s">
        <v>14</v>
      </c>
      <c r="U342" s="7" t="s">
        <v>15</v>
      </c>
      <c r="V342" s="8" t="s">
        <v>16</v>
      </c>
      <c r="W342" s="7" t="s">
        <v>17</v>
      </c>
      <c r="X342" s="8" t="s">
        <v>18</v>
      </c>
      <c r="Y342" s="7" t="s">
        <v>19</v>
      </c>
      <c r="Z342" s="7" t="s">
        <v>20</v>
      </c>
    </row>
    <row r="343" customFormat="false" ht="13.9" hidden="true" customHeight="true" outlineLevel="0" collapsed="false">
      <c r="A343" s="1" t="n">
        <v>6</v>
      </c>
      <c r="B343" s="1" t="n">
        <v>1</v>
      </c>
      <c r="D343" s="30" t="s">
        <v>21</v>
      </c>
      <c r="E343" s="10" t="n">
        <v>111</v>
      </c>
      <c r="F343" s="10" t="s">
        <v>132</v>
      </c>
      <c r="G343" s="11" t="n">
        <f aca="false">G350</f>
        <v>1625</v>
      </c>
      <c r="H343" s="11" t="n">
        <f aca="false">H350</f>
        <v>366.13</v>
      </c>
      <c r="I343" s="11" t="n">
        <f aca="false">I350</f>
        <v>0</v>
      </c>
      <c r="J343" s="11" t="n">
        <f aca="false">J350</f>
        <v>0</v>
      </c>
      <c r="K343" s="11" t="n">
        <f aca="false">K350</f>
        <v>0</v>
      </c>
      <c r="L343" s="11" t="n">
        <f aca="false">L350</f>
        <v>0</v>
      </c>
      <c r="M343" s="11" t="n">
        <f aca="false">M350</f>
        <v>0</v>
      </c>
      <c r="N343" s="11" t="n">
        <f aca="false">N350</f>
        <v>0</v>
      </c>
      <c r="O343" s="11" t="n">
        <f aca="false">O350</f>
        <v>0</v>
      </c>
      <c r="P343" s="11" t="n">
        <f aca="false">P350</f>
        <v>0</v>
      </c>
      <c r="Q343" s="11" t="n">
        <f aca="false">Q350</f>
        <v>0</v>
      </c>
      <c r="R343" s="12" t="e">
        <f aca="false">Q343/$P343</f>
        <v>#DIV/0!</v>
      </c>
      <c r="S343" s="11" t="n">
        <f aca="false">S350</f>
        <v>0</v>
      </c>
      <c r="T343" s="12" t="e">
        <f aca="false">S343/$P343</f>
        <v>#DIV/0!</v>
      </c>
      <c r="U343" s="11" t="n">
        <f aca="false">U350</f>
        <v>0</v>
      </c>
      <c r="V343" s="12" t="e">
        <f aca="false">U343/$P343</f>
        <v>#DIV/0!</v>
      </c>
      <c r="W343" s="11" t="n">
        <f aca="false">W350</f>
        <v>0</v>
      </c>
      <c r="X343" s="12" t="e">
        <f aca="false">W343/$P343</f>
        <v>#DIV/0!</v>
      </c>
      <c r="Y343" s="11" t="n">
        <f aca="false">Y350</f>
        <v>0</v>
      </c>
      <c r="Z343" s="11" t="n">
        <f aca="false">Z350</f>
        <v>0</v>
      </c>
    </row>
    <row r="344" customFormat="false" ht="13.9" hidden="false" customHeight="true" outlineLevel="0" collapsed="false">
      <c r="A344" s="1" t="n">
        <v>6</v>
      </c>
      <c r="B344" s="1" t="n">
        <v>1</v>
      </c>
      <c r="D344" s="30" t="s">
        <v>21</v>
      </c>
      <c r="E344" s="10" t="n">
        <v>41</v>
      </c>
      <c r="F344" s="10" t="s">
        <v>23</v>
      </c>
      <c r="G344" s="11" t="n">
        <f aca="false">G354+G362</f>
        <v>10099.93</v>
      </c>
      <c r="H344" s="11" t="n">
        <f aca="false">H354+H362</f>
        <v>7928.45</v>
      </c>
      <c r="I344" s="11" t="n">
        <f aca="false">I354+I362</f>
        <v>10972</v>
      </c>
      <c r="J344" s="11" t="n">
        <f aca="false">J354+J362</f>
        <v>9945.57</v>
      </c>
      <c r="K344" s="11" t="n">
        <f aca="false">K354+K362</f>
        <v>12515</v>
      </c>
      <c r="L344" s="11" t="n">
        <f aca="false">L354+L362</f>
        <v>542</v>
      </c>
      <c r="M344" s="11" t="n">
        <f aca="false">M354+M362</f>
        <v>1734</v>
      </c>
      <c r="N344" s="11" t="n">
        <f aca="false">N354+N362</f>
        <v>416</v>
      </c>
      <c r="O344" s="11" t="n">
        <f aca="false">O354+O362</f>
        <v>150</v>
      </c>
      <c r="P344" s="11" t="n">
        <f aca="false">P354+P362</f>
        <v>15357</v>
      </c>
      <c r="Q344" s="11" t="n">
        <f aca="false">Q354+Q362</f>
        <v>10672</v>
      </c>
      <c r="R344" s="12" t="n">
        <f aca="false">Q344/$P344</f>
        <v>0.694927394673439</v>
      </c>
      <c r="S344" s="11" t="n">
        <f aca="false">S354+S362</f>
        <v>12712.76</v>
      </c>
      <c r="T344" s="12" t="n">
        <f aca="false">S344/$P344</f>
        <v>0.827815328514684</v>
      </c>
      <c r="U344" s="11" t="n">
        <f aca="false">U354+U362</f>
        <v>14423.27</v>
      </c>
      <c r="V344" s="12" t="n">
        <f aca="false">U344/$P344</f>
        <v>0.939198411148011</v>
      </c>
      <c r="W344" s="11" t="n">
        <f aca="false">W354+W362</f>
        <v>15331.27</v>
      </c>
      <c r="X344" s="12" t="n">
        <f aca="false">W344/$P344</f>
        <v>0.998324542553884</v>
      </c>
      <c r="Y344" s="11" t="n">
        <f aca="false">Y354+Y362</f>
        <v>12515</v>
      </c>
      <c r="Z344" s="11" t="n">
        <f aca="false">Z354+Z362</f>
        <v>12515</v>
      </c>
    </row>
    <row r="345" customFormat="false" ht="13.9" hidden="false" customHeight="true" outlineLevel="0" collapsed="false">
      <c r="A345" s="1" t="n">
        <v>6</v>
      </c>
      <c r="B345" s="1" t="n">
        <v>1</v>
      </c>
      <c r="D345" s="17"/>
      <c r="E345" s="18"/>
      <c r="F345" s="13" t="s">
        <v>122</v>
      </c>
      <c r="G345" s="14" t="n">
        <f aca="false">SUM(G343:G344)</f>
        <v>11724.93</v>
      </c>
      <c r="H345" s="14" t="n">
        <f aca="false">SUM(H343:H344)</f>
        <v>8294.58</v>
      </c>
      <c r="I345" s="14" t="n">
        <f aca="false">SUM(I343:I344)</f>
        <v>10972</v>
      </c>
      <c r="J345" s="14" t="n">
        <f aca="false">SUM(J343:J344)</f>
        <v>9945.57</v>
      </c>
      <c r="K345" s="14" t="n">
        <f aca="false">SUM(K343:K344)</f>
        <v>12515</v>
      </c>
      <c r="L345" s="14" t="n">
        <f aca="false">SUM(L343:L344)</f>
        <v>542</v>
      </c>
      <c r="M345" s="14" t="n">
        <f aca="false">SUM(M343:M344)</f>
        <v>1734</v>
      </c>
      <c r="N345" s="14" t="n">
        <f aca="false">SUM(N343:N344)</f>
        <v>416</v>
      </c>
      <c r="O345" s="14" t="n">
        <f aca="false">SUM(O343:O344)</f>
        <v>150</v>
      </c>
      <c r="P345" s="14" t="n">
        <f aca="false">SUM(P343:P344)</f>
        <v>15357</v>
      </c>
      <c r="Q345" s="14" t="n">
        <f aca="false">SUM(Q343:Q344)</f>
        <v>10672</v>
      </c>
      <c r="R345" s="15" t="n">
        <f aca="false">Q345/$P345</f>
        <v>0.694927394673439</v>
      </c>
      <c r="S345" s="14" t="n">
        <f aca="false">SUM(S343:S344)</f>
        <v>12712.76</v>
      </c>
      <c r="T345" s="15" t="n">
        <f aca="false">S345/$P345</f>
        <v>0.827815328514684</v>
      </c>
      <c r="U345" s="14" t="n">
        <f aca="false">SUM(U343:U344)</f>
        <v>14423.27</v>
      </c>
      <c r="V345" s="15" t="n">
        <f aca="false">U345/$P345</f>
        <v>0.939198411148011</v>
      </c>
      <c r="W345" s="14" t="n">
        <f aca="false">SUM(W343:W344)</f>
        <v>15331.27</v>
      </c>
      <c r="X345" s="15" t="n">
        <f aca="false">W345/$P345</f>
        <v>0.998324542553884</v>
      </c>
      <c r="Y345" s="14" t="n">
        <f aca="false">SUM(Y343:Y344)</f>
        <v>12515</v>
      </c>
      <c r="Z345" s="14" t="n">
        <f aca="false">SUM(Z343:Z344)</f>
        <v>12515</v>
      </c>
    </row>
    <row r="347" customFormat="false" ht="13.9" hidden="false" customHeight="true" outlineLevel="0" collapsed="false">
      <c r="D347" s="60" t="s">
        <v>226</v>
      </c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1"/>
      <c r="S347" s="60"/>
      <c r="T347" s="61"/>
      <c r="U347" s="60"/>
      <c r="V347" s="61"/>
      <c r="W347" s="60"/>
      <c r="X347" s="61"/>
      <c r="Y347" s="60"/>
      <c r="Z347" s="60"/>
    </row>
    <row r="348" customFormat="false" ht="13.9" hidden="false" customHeight="true" outlineLevel="0" collapsed="false">
      <c r="D348" s="7" t="s">
        <v>33</v>
      </c>
      <c r="E348" s="7" t="s">
        <v>34</v>
      </c>
      <c r="F348" s="7" t="s">
        <v>35</v>
      </c>
      <c r="G348" s="7" t="s">
        <v>1</v>
      </c>
      <c r="H348" s="7" t="s">
        <v>2</v>
      </c>
      <c r="I348" s="7" t="s">
        <v>3</v>
      </c>
      <c r="J348" s="7" t="s">
        <v>4</v>
      </c>
      <c r="K348" s="7" t="s">
        <v>5</v>
      </c>
      <c r="L348" s="7" t="s">
        <v>6</v>
      </c>
      <c r="M348" s="7" t="s">
        <v>7</v>
      </c>
      <c r="N348" s="7" t="s">
        <v>8</v>
      </c>
      <c r="O348" s="7" t="s">
        <v>9</v>
      </c>
      <c r="P348" s="7" t="s">
        <v>10</v>
      </c>
      <c r="Q348" s="7" t="s">
        <v>11</v>
      </c>
      <c r="R348" s="8" t="s">
        <v>12</v>
      </c>
      <c r="S348" s="7" t="s">
        <v>13</v>
      </c>
      <c r="T348" s="8" t="s">
        <v>14</v>
      </c>
      <c r="U348" s="7" t="s">
        <v>15</v>
      </c>
      <c r="V348" s="8" t="s">
        <v>16</v>
      </c>
      <c r="W348" s="7" t="s">
        <v>17</v>
      </c>
      <c r="X348" s="8" t="s">
        <v>18</v>
      </c>
      <c r="Y348" s="7" t="s">
        <v>19</v>
      </c>
      <c r="Z348" s="7" t="s">
        <v>20</v>
      </c>
    </row>
    <row r="349" customFormat="false" ht="13.9" hidden="true" customHeight="true" outlineLevel="0" collapsed="false">
      <c r="A349" s="1" t="n">
        <v>6</v>
      </c>
      <c r="B349" s="1" t="n">
        <v>1</v>
      </c>
      <c r="C349" s="1" t="n">
        <v>1</v>
      </c>
      <c r="D349" s="74" t="s">
        <v>227</v>
      </c>
      <c r="E349" s="10" t="n">
        <v>630</v>
      </c>
      <c r="F349" s="10" t="s">
        <v>129</v>
      </c>
      <c r="G349" s="11" t="n">
        <v>1625</v>
      </c>
      <c r="H349" s="11" t="n">
        <v>366.13</v>
      </c>
      <c r="I349" s="11" t="n">
        <v>0</v>
      </c>
      <c r="J349" s="11" t="n">
        <v>0</v>
      </c>
      <c r="K349" s="11" t="n">
        <v>0</v>
      </c>
      <c r="L349" s="11"/>
      <c r="M349" s="11"/>
      <c r="N349" s="11"/>
      <c r="O349" s="11"/>
      <c r="P349" s="11" t="n">
        <f aca="false">K349+SUM(L349:O349)</f>
        <v>0</v>
      </c>
      <c r="Q349" s="11"/>
      <c r="R349" s="12" t="e">
        <f aca="false">Q349/$P349</f>
        <v>#DIV/0!</v>
      </c>
      <c r="S349" s="11"/>
      <c r="T349" s="12" t="e">
        <f aca="false">S349/$P349</f>
        <v>#DIV/0!</v>
      </c>
      <c r="U349" s="11"/>
      <c r="V349" s="12" t="e">
        <f aca="false">U349/$P349</f>
        <v>#DIV/0!</v>
      </c>
      <c r="W349" s="11"/>
      <c r="X349" s="12" t="e">
        <f aca="false">W349/$P349</f>
        <v>#DIV/0!</v>
      </c>
      <c r="Y349" s="11" t="n">
        <v>0</v>
      </c>
      <c r="Z349" s="11" t="n">
        <f aca="false">Y349</f>
        <v>0</v>
      </c>
    </row>
    <row r="350" customFormat="false" ht="13.9" hidden="true" customHeight="true" outlineLevel="0" collapsed="false">
      <c r="A350" s="1" t="n">
        <v>6</v>
      </c>
      <c r="B350" s="1" t="n">
        <v>1</v>
      </c>
      <c r="C350" s="1" t="n">
        <v>1</v>
      </c>
      <c r="D350" s="75" t="s">
        <v>21</v>
      </c>
      <c r="E350" s="76" t="s">
        <v>228</v>
      </c>
      <c r="F350" s="35" t="s">
        <v>132</v>
      </c>
      <c r="G350" s="36" t="n">
        <f aca="false">SUM(G349:G349)</f>
        <v>1625</v>
      </c>
      <c r="H350" s="36" t="n">
        <f aca="false">SUM(H349:H349)</f>
        <v>366.13</v>
      </c>
      <c r="I350" s="36" t="n">
        <f aca="false">SUM(I349:I349)</f>
        <v>0</v>
      </c>
      <c r="J350" s="36" t="n">
        <f aca="false">SUM(J349:J349)</f>
        <v>0</v>
      </c>
      <c r="K350" s="36" t="n">
        <f aca="false">SUM(K349:K349)</f>
        <v>0</v>
      </c>
      <c r="L350" s="36" t="n">
        <f aca="false">SUM(L349:L349)</f>
        <v>0</v>
      </c>
      <c r="M350" s="36" t="n">
        <f aca="false">SUM(M349:M349)</f>
        <v>0</v>
      </c>
      <c r="N350" s="36" t="n">
        <f aca="false">SUM(N349:N349)</f>
        <v>0</v>
      </c>
      <c r="O350" s="36" t="n">
        <f aca="false">SUM(O349:O349)</f>
        <v>0</v>
      </c>
      <c r="P350" s="36" t="n">
        <f aca="false">SUM(P349:P349)</f>
        <v>0</v>
      </c>
      <c r="Q350" s="36" t="n">
        <f aca="false">SUM(Q349:Q349)</f>
        <v>0</v>
      </c>
      <c r="R350" s="37" t="e">
        <f aca="false">Q350/$P350</f>
        <v>#DIV/0!</v>
      </c>
      <c r="S350" s="36" t="n">
        <f aca="false">SUM(S349:S349)</f>
        <v>0</v>
      </c>
      <c r="T350" s="37" t="e">
        <f aca="false">S350/$P350</f>
        <v>#DIV/0!</v>
      </c>
      <c r="U350" s="36" t="n">
        <f aca="false">SUM(U349:U349)</f>
        <v>0</v>
      </c>
      <c r="V350" s="37" t="e">
        <f aca="false">U350/$P350</f>
        <v>#DIV/0!</v>
      </c>
      <c r="W350" s="36" t="n">
        <f aca="false">SUM(W349:W349)</f>
        <v>0</v>
      </c>
      <c r="X350" s="37" t="e">
        <f aca="false">W350/$P350</f>
        <v>#DIV/0!</v>
      </c>
      <c r="Y350" s="36" t="n">
        <f aca="false">SUM(Y349:Y349)</f>
        <v>0</v>
      </c>
      <c r="Z350" s="36" t="n">
        <f aca="false">SUM(Z349:Z349)</f>
        <v>0</v>
      </c>
    </row>
    <row r="351" customFormat="false" ht="13.9" hidden="false" customHeight="true" outlineLevel="0" collapsed="false">
      <c r="A351" s="1" t="n">
        <v>6</v>
      </c>
      <c r="B351" s="1" t="n">
        <v>1</v>
      </c>
      <c r="C351" s="1" t="n">
        <v>1</v>
      </c>
      <c r="D351" s="74" t="s">
        <v>227</v>
      </c>
      <c r="E351" s="10" t="n">
        <v>620</v>
      </c>
      <c r="F351" s="10" t="s">
        <v>128</v>
      </c>
      <c r="G351" s="11" t="n">
        <v>108.24</v>
      </c>
      <c r="H351" s="11" t="n">
        <v>0</v>
      </c>
      <c r="I351" s="11" t="n">
        <v>0</v>
      </c>
      <c r="J351" s="11" t="n">
        <v>0</v>
      </c>
      <c r="K351" s="11" t="n">
        <v>0</v>
      </c>
      <c r="L351" s="11"/>
      <c r="M351" s="11" t="n">
        <v>110</v>
      </c>
      <c r="N351" s="11"/>
      <c r="O351" s="11"/>
      <c r="P351" s="11" t="n">
        <f aca="false">K351+SUM(L351:O351)</f>
        <v>110</v>
      </c>
      <c r="Q351" s="11" t="n">
        <v>0</v>
      </c>
      <c r="R351" s="12" t="n">
        <f aca="false">Q351/$P351</f>
        <v>0</v>
      </c>
      <c r="S351" s="11" t="n">
        <v>0</v>
      </c>
      <c r="T351" s="12" t="n">
        <f aca="false">S351/$P351</f>
        <v>0</v>
      </c>
      <c r="U351" s="11" t="n">
        <v>108.24</v>
      </c>
      <c r="V351" s="12" t="n">
        <f aca="false">U351/$P351</f>
        <v>0.984</v>
      </c>
      <c r="W351" s="11" t="n">
        <v>108.24</v>
      </c>
      <c r="X351" s="12" t="n">
        <f aca="false">W351/$P351</f>
        <v>0.984</v>
      </c>
      <c r="Y351" s="11" t="n">
        <f aca="false">K351</f>
        <v>0</v>
      </c>
      <c r="Z351" s="11" t="n">
        <f aca="false">Y351</f>
        <v>0</v>
      </c>
    </row>
    <row r="352" customFormat="false" ht="13.9" hidden="false" customHeight="true" outlineLevel="0" collapsed="false">
      <c r="A352" s="1" t="n">
        <v>6</v>
      </c>
      <c r="B352" s="1" t="n">
        <v>1</v>
      </c>
      <c r="C352" s="1" t="n">
        <v>1</v>
      </c>
      <c r="D352" s="74" t="s">
        <v>227</v>
      </c>
      <c r="E352" s="10" t="n">
        <v>630</v>
      </c>
      <c r="F352" s="10" t="s">
        <v>129</v>
      </c>
      <c r="G352" s="11" t="n">
        <v>2841.69</v>
      </c>
      <c r="H352" s="11" t="n">
        <v>1628.45</v>
      </c>
      <c r="I352" s="11" t="n">
        <v>1222</v>
      </c>
      <c r="J352" s="11" t="n">
        <v>1445.57</v>
      </c>
      <c r="K352" s="11" t="n">
        <v>1515</v>
      </c>
      <c r="L352" s="11" t="n">
        <v>542</v>
      </c>
      <c r="M352" s="11" t="n">
        <f aca="false">890+734</f>
        <v>1624</v>
      </c>
      <c r="N352" s="11" t="n">
        <v>416</v>
      </c>
      <c r="O352" s="11" t="n">
        <v>650</v>
      </c>
      <c r="P352" s="11" t="n">
        <f aca="false">K352+SUM(L352:O352)</f>
        <v>4747</v>
      </c>
      <c r="Q352" s="11" t="n">
        <v>172</v>
      </c>
      <c r="R352" s="12" t="n">
        <f aca="false">Q352/$P352</f>
        <v>0.0362334105751001</v>
      </c>
      <c r="S352" s="11" t="n">
        <v>2212.76</v>
      </c>
      <c r="T352" s="12" t="n">
        <f aca="false">S352/$P352</f>
        <v>0.466138613861386</v>
      </c>
      <c r="U352" s="11" t="n">
        <v>3815.03</v>
      </c>
      <c r="V352" s="12" t="n">
        <f aca="false">U352/$P352</f>
        <v>0.803671792711186</v>
      </c>
      <c r="W352" s="11" t="n">
        <v>4723.03</v>
      </c>
      <c r="X352" s="12" t="n">
        <f aca="false">W352/$P352</f>
        <v>0.994950495049505</v>
      </c>
      <c r="Y352" s="11" t="n">
        <f aca="false">K352</f>
        <v>1515</v>
      </c>
      <c r="Z352" s="11" t="n">
        <f aca="false">Y352</f>
        <v>1515</v>
      </c>
    </row>
    <row r="353" customFormat="false" ht="13.9" hidden="false" customHeight="true" outlineLevel="0" collapsed="false">
      <c r="A353" s="1" t="n">
        <v>6</v>
      </c>
      <c r="B353" s="1" t="n">
        <v>1</v>
      </c>
      <c r="C353" s="1" t="n">
        <v>1</v>
      </c>
      <c r="D353" s="74" t="s">
        <v>227</v>
      </c>
      <c r="E353" s="10" t="n">
        <v>640</v>
      </c>
      <c r="F353" s="10" t="s">
        <v>130</v>
      </c>
      <c r="G353" s="11" t="n">
        <v>5450</v>
      </c>
      <c r="H353" s="11" t="n">
        <v>4800</v>
      </c>
      <c r="I353" s="11" t="n">
        <v>5000</v>
      </c>
      <c r="J353" s="11" t="n">
        <v>5000</v>
      </c>
      <c r="K353" s="11" t="n">
        <v>5000</v>
      </c>
      <c r="L353" s="11"/>
      <c r="M353" s="11"/>
      <c r="N353" s="11"/>
      <c r="O353" s="11"/>
      <c r="P353" s="11" t="n">
        <f aca="false">K353+SUM(L353:O353)</f>
        <v>5000</v>
      </c>
      <c r="Q353" s="11" t="n">
        <v>5000</v>
      </c>
      <c r="R353" s="12" t="n">
        <f aca="false">Q353/$P353</f>
        <v>1</v>
      </c>
      <c r="S353" s="11" t="n">
        <v>5000</v>
      </c>
      <c r="T353" s="12" t="n">
        <f aca="false">S353/$P353</f>
        <v>1</v>
      </c>
      <c r="U353" s="11" t="n">
        <v>5000</v>
      </c>
      <c r="V353" s="12" t="n">
        <f aca="false">U353/$P353</f>
        <v>1</v>
      </c>
      <c r="W353" s="11" t="n">
        <v>5000</v>
      </c>
      <c r="X353" s="12" t="n">
        <f aca="false">W353/$P353</f>
        <v>1</v>
      </c>
      <c r="Y353" s="11" t="n">
        <f aca="false">K353</f>
        <v>5000</v>
      </c>
      <c r="Z353" s="11" t="n">
        <f aca="false">Y353</f>
        <v>5000</v>
      </c>
    </row>
    <row r="354" customFormat="false" ht="13.9" hidden="false" customHeight="true" outlineLevel="0" collapsed="false">
      <c r="A354" s="1" t="n">
        <v>6</v>
      </c>
      <c r="B354" s="1" t="n">
        <v>1</v>
      </c>
      <c r="C354" s="1" t="n">
        <v>1</v>
      </c>
      <c r="D354" s="75" t="s">
        <v>21</v>
      </c>
      <c r="E354" s="35" t="n">
        <v>41</v>
      </c>
      <c r="F354" s="35" t="s">
        <v>23</v>
      </c>
      <c r="G354" s="36" t="n">
        <f aca="false">SUM(G351:G353)</f>
        <v>8399.93</v>
      </c>
      <c r="H354" s="36" t="n">
        <f aca="false">SUM(H351:H353)</f>
        <v>6428.45</v>
      </c>
      <c r="I354" s="36" t="n">
        <f aca="false">SUM(I351:I353)</f>
        <v>6222</v>
      </c>
      <c r="J354" s="36" t="n">
        <f aca="false">SUM(J351:J353)</f>
        <v>6445.57</v>
      </c>
      <c r="K354" s="36" t="n">
        <f aca="false">SUM(K351:K353)</f>
        <v>6515</v>
      </c>
      <c r="L354" s="36" t="n">
        <f aca="false">SUM(L351:L353)</f>
        <v>542</v>
      </c>
      <c r="M354" s="36" t="n">
        <f aca="false">SUM(M351:M353)</f>
        <v>1734</v>
      </c>
      <c r="N354" s="36" t="n">
        <f aca="false">SUM(N351:N353)</f>
        <v>416</v>
      </c>
      <c r="O354" s="36" t="n">
        <f aca="false">SUM(O351:O353)</f>
        <v>650</v>
      </c>
      <c r="P354" s="36" t="n">
        <f aca="false">SUM(P351:P353)</f>
        <v>9857</v>
      </c>
      <c r="Q354" s="36" t="n">
        <f aca="false">SUM(Q351:Q353)</f>
        <v>5172</v>
      </c>
      <c r="R354" s="37" t="n">
        <f aca="false">Q354/$P354</f>
        <v>0.524703256568936</v>
      </c>
      <c r="S354" s="36" t="n">
        <f aca="false">SUM(S351:S353)</f>
        <v>7212.76</v>
      </c>
      <c r="T354" s="37" t="n">
        <f aca="false">S354/$P354</f>
        <v>0.73173988028812</v>
      </c>
      <c r="U354" s="36" t="n">
        <f aca="false">SUM(U351:U353)</f>
        <v>8923.27</v>
      </c>
      <c r="V354" s="37" t="n">
        <f aca="false">U354/$P354</f>
        <v>0.905272395252105</v>
      </c>
      <c r="W354" s="36" t="n">
        <f aca="false">SUM(W351:W353)</f>
        <v>9831.27</v>
      </c>
      <c r="X354" s="37" t="n">
        <f aca="false">W354/$P354</f>
        <v>0.997389672314092</v>
      </c>
      <c r="Y354" s="36" t="n">
        <f aca="false">SUM(Y351:Y353)</f>
        <v>6515</v>
      </c>
      <c r="Z354" s="36" t="n">
        <f aca="false">SUM(Z351:Z353)</f>
        <v>6515</v>
      </c>
    </row>
    <row r="355" customFormat="false" ht="13.9" hidden="false" customHeight="true" outlineLevel="0" collapsed="false">
      <c r="A355" s="1" t="n">
        <v>6</v>
      </c>
      <c r="B355" s="1" t="n">
        <v>1</v>
      </c>
      <c r="C355" s="1" t="n">
        <v>1</v>
      </c>
      <c r="D355" s="77"/>
      <c r="E355" s="78"/>
      <c r="F355" s="13" t="s">
        <v>122</v>
      </c>
      <c r="G355" s="14" t="n">
        <f aca="false">G350+G354</f>
        <v>10024.93</v>
      </c>
      <c r="H355" s="14" t="n">
        <f aca="false">H350+H354</f>
        <v>6794.58</v>
      </c>
      <c r="I355" s="14" t="n">
        <f aca="false">I350+I354</f>
        <v>6222</v>
      </c>
      <c r="J355" s="14" t="n">
        <f aca="false">J350+J354</f>
        <v>6445.57</v>
      </c>
      <c r="K355" s="14" t="n">
        <f aca="false">K350+K354</f>
        <v>6515</v>
      </c>
      <c r="L355" s="14" t="n">
        <f aca="false">L350+L354</f>
        <v>542</v>
      </c>
      <c r="M355" s="14" t="n">
        <f aca="false">M350+M354</f>
        <v>1734</v>
      </c>
      <c r="N355" s="14" t="n">
        <f aca="false">N350+N354</f>
        <v>416</v>
      </c>
      <c r="O355" s="14" t="n">
        <f aca="false">O350+O354</f>
        <v>650</v>
      </c>
      <c r="P355" s="14" t="n">
        <f aca="false">P350+P354</f>
        <v>9857</v>
      </c>
      <c r="Q355" s="14" t="n">
        <f aca="false">Q350+Q354</f>
        <v>5172</v>
      </c>
      <c r="R355" s="15" t="n">
        <f aca="false">Q355/$P355</f>
        <v>0.524703256568936</v>
      </c>
      <c r="S355" s="14" t="n">
        <f aca="false">S350+S354</f>
        <v>7212.76</v>
      </c>
      <c r="T355" s="15" t="n">
        <f aca="false">S355/$P355</f>
        <v>0.73173988028812</v>
      </c>
      <c r="U355" s="14" t="n">
        <f aca="false">U350+U354</f>
        <v>8923.27</v>
      </c>
      <c r="V355" s="15" t="n">
        <f aca="false">U355/$P355</f>
        <v>0.905272395252105</v>
      </c>
      <c r="W355" s="14" t="n">
        <f aca="false">W350+W354</f>
        <v>9831.27</v>
      </c>
      <c r="X355" s="15" t="n">
        <f aca="false">W355/$P355</f>
        <v>0.997389672314092</v>
      </c>
      <c r="Y355" s="14" t="n">
        <f aca="false">Y350+Y354</f>
        <v>6515</v>
      </c>
      <c r="Z355" s="14" t="n">
        <f aca="false">Z350+Z354</f>
        <v>6515</v>
      </c>
    </row>
    <row r="357" customFormat="false" ht="13.9" hidden="false" customHeight="true" outlineLevel="0" collapsed="false">
      <c r="E357" s="100" t="s">
        <v>57</v>
      </c>
      <c r="F357" s="106" t="s">
        <v>147</v>
      </c>
      <c r="G357" s="107" t="n">
        <v>380.76</v>
      </c>
      <c r="H357" s="107" t="n">
        <v>869</v>
      </c>
      <c r="I357" s="107" t="n">
        <v>462</v>
      </c>
      <c r="J357" s="107" t="n">
        <v>462</v>
      </c>
      <c r="K357" s="107" t="n">
        <v>530</v>
      </c>
      <c r="L357" s="107"/>
      <c r="M357" s="107"/>
      <c r="N357" s="107" t="n">
        <v>416</v>
      </c>
      <c r="O357" s="107"/>
      <c r="P357" s="107" t="n">
        <f aca="false">K357+SUM(L357:O357)</f>
        <v>946</v>
      </c>
      <c r="Q357" s="107" t="n">
        <v>172</v>
      </c>
      <c r="R357" s="115" t="n">
        <f aca="false">Q357/$P357</f>
        <v>0.181818181818182</v>
      </c>
      <c r="S357" s="107" t="n">
        <v>430</v>
      </c>
      <c r="T357" s="115" t="n">
        <f aca="false">S357/$P357</f>
        <v>0.454545454545455</v>
      </c>
      <c r="U357" s="107" t="n">
        <v>688</v>
      </c>
      <c r="V357" s="115" t="n">
        <f aca="false">U357/$P357</f>
        <v>0.727272727272727</v>
      </c>
      <c r="W357" s="107" t="n">
        <v>946</v>
      </c>
      <c r="X357" s="116" t="n">
        <f aca="false">W357/$P357</f>
        <v>1</v>
      </c>
      <c r="Y357" s="108" t="n">
        <f aca="false">K357</f>
        <v>530</v>
      </c>
      <c r="Z357" s="111" t="n">
        <f aca="false">Y357</f>
        <v>530</v>
      </c>
    </row>
    <row r="359" customFormat="false" ht="13.9" hidden="false" customHeight="true" outlineLevel="0" collapsed="false">
      <c r="D359" s="60" t="s">
        <v>229</v>
      </c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1"/>
      <c r="S359" s="60"/>
      <c r="T359" s="61"/>
      <c r="U359" s="60"/>
      <c r="V359" s="61"/>
      <c r="W359" s="60"/>
      <c r="X359" s="61"/>
      <c r="Y359" s="60"/>
      <c r="Z359" s="60"/>
    </row>
    <row r="360" customFormat="false" ht="13.9" hidden="false" customHeight="true" outlineLevel="0" collapsed="false">
      <c r="D360" s="7" t="s">
        <v>33</v>
      </c>
      <c r="E360" s="7" t="s">
        <v>34</v>
      </c>
      <c r="F360" s="7" t="s">
        <v>35</v>
      </c>
      <c r="G360" s="7" t="s">
        <v>1</v>
      </c>
      <c r="H360" s="7" t="s">
        <v>2</v>
      </c>
      <c r="I360" s="7" t="s">
        <v>3</v>
      </c>
      <c r="J360" s="7" t="s">
        <v>4</v>
      </c>
      <c r="K360" s="7" t="s">
        <v>5</v>
      </c>
      <c r="L360" s="7" t="s">
        <v>6</v>
      </c>
      <c r="M360" s="7" t="s">
        <v>7</v>
      </c>
      <c r="N360" s="7" t="s">
        <v>8</v>
      </c>
      <c r="O360" s="7" t="s">
        <v>9</v>
      </c>
      <c r="P360" s="7" t="s">
        <v>10</v>
      </c>
      <c r="Q360" s="7" t="s">
        <v>11</v>
      </c>
      <c r="R360" s="8" t="s">
        <v>12</v>
      </c>
      <c r="S360" s="7" t="s">
        <v>13</v>
      </c>
      <c r="T360" s="8" t="s">
        <v>14</v>
      </c>
      <c r="U360" s="7" t="s">
        <v>15</v>
      </c>
      <c r="V360" s="8" t="s">
        <v>16</v>
      </c>
      <c r="W360" s="7" t="s">
        <v>17</v>
      </c>
      <c r="X360" s="8" t="s">
        <v>18</v>
      </c>
      <c r="Y360" s="7" t="s">
        <v>19</v>
      </c>
      <c r="Z360" s="7" t="s">
        <v>20</v>
      </c>
    </row>
    <row r="361" customFormat="false" ht="13.9" hidden="false" customHeight="true" outlineLevel="0" collapsed="false">
      <c r="A361" s="1" t="n">
        <v>6</v>
      </c>
      <c r="B361" s="1" t="n">
        <v>1</v>
      </c>
      <c r="C361" s="1" t="n">
        <v>2</v>
      </c>
      <c r="D361" s="74" t="s">
        <v>227</v>
      </c>
      <c r="E361" s="10" t="n">
        <v>640</v>
      </c>
      <c r="F361" s="10" t="s">
        <v>130</v>
      </c>
      <c r="G361" s="11" t="n">
        <v>1700</v>
      </c>
      <c r="H361" s="11" t="n">
        <v>1500</v>
      </c>
      <c r="I361" s="11" t="n">
        <f aca="false">SUM(I364:I367)</f>
        <v>4750</v>
      </c>
      <c r="J361" s="11" t="n">
        <v>3500</v>
      </c>
      <c r="K361" s="11" t="n">
        <f aca="false">SUM(K364:K367)</f>
        <v>6000</v>
      </c>
      <c r="L361" s="11"/>
      <c r="M361" s="11"/>
      <c r="N361" s="11"/>
      <c r="O361" s="11" t="n">
        <v>-500</v>
      </c>
      <c r="P361" s="11" t="n">
        <f aca="false">K361+SUM(L361:O361)</f>
        <v>5500</v>
      </c>
      <c r="Q361" s="11" t="n">
        <v>5500</v>
      </c>
      <c r="R361" s="12" t="n">
        <f aca="false">Q361/$P361</f>
        <v>1</v>
      </c>
      <c r="S361" s="11" t="n">
        <v>5500</v>
      </c>
      <c r="T361" s="12" t="n">
        <f aca="false">S361/$P361</f>
        <v>1</v>
      </c>
      <c r="U361" s="11" t="n">
        <v>5500</v>
      </c>
      <c r="V361" s="12" t="n">
        <f aca="false">U361/$P361</f>
        <v>1</v>
      </c>
      <c r="W361" s="11" t="n">
        <v>5500</v>
      </c>
      <c r="X361" s="12" t="n">
        <f aca="false">W361/$P361</f>
        <v>1</v>
      </c>
      <c r="Y361" s="11" t="n">
        <f aca="false">SUM(Y364:Y367)</f>
        <v>6000</v>
      </c>
      <c r="Z361" s="11" t="n">
        <f aca="false">SUM(Z364:Z367)</f>
        <v>6000</v>
      </c>
    </row>
    <row r="362" customFormat="false" ht="13.9" hidden="false" customHeight="true" outlineLevel="0" collapsed="false">
      <c r="A362" s="1" t="n">
        <v>6</v>
      </c>
      <c r="B362" s="1" t="n">
        <v>1</v>
      </c>
      <c r="C362" s="1" t="n">
        <v>2</v>
      </c>
      <c r="D362" s="67" t="s">
        <v>21</v>
      </c>
      <c r="E362" s="13" t="n">
        <v>41</v>
      </c>
      <c r="F362" s="13" t="s">
        <v>23</v>
      </c>
      <c r="G362" s="14" t="n">
        <f aca="false">SUM(G361:G361)</f>
        <v>1700</v>
      </c>
      <c r="H362" s="14" t="n">
        <f aca="false">SUM(H361:H361)</f>
        <v>1500</v>
      </c>
      <c r="I362" s="14" t="n">
        <f aca="false">SUM(I361:I361)</f>
        <v>4750</v>
      </c>
      <c r="J362" s="14" t="n">
        <f aca="false">SUM(J361:J361)</f>
        <v>3500</v>
      </c>
      <c r="K362" s="14" t="n">
        <f aca="false">SUM(K361:K361)</f>
        <v>6000</v>
      </c>
      <c r="L362" s="14" t="n">
        <f aca="false">SUM(L361:L361)</f>
        <v>0</v>
      </c>
      <c r="M362" s="14" t="n">
        <f aca="false">SUM(M361:M361)</f>
        <v>0</v>
      </c>
      <c r="N362" s="14" t="n">
        <f aca="false">SUM(N361:N361)</f>
        <v>0</v>
      </c>
      <c r="O362" s="14" t="n">
        <f aca="false">SUM(O361:O361)</f>
        <v>-500</v>
      </c>
      <c r="P362" s="14" t="n">
        <f aca="false">SUM(P361:P361)</f>
        <v>5500</v>
      </c>
      <c r="Q362" s="14" t="n">
        <f aca="false">SUM(Q361:Q361)</f>
        <v>5500</v>
      </c>
      <c r="R362" s="15" t="n">
        <f aca="false">Q362/$P362</f>
        <v>1</v>
      </c>
      <c r="S362" s="14" t="n">
        <f aca="false">SUM(S361:S361)</f>
        <v>5500</v>
      </c>
      <c r="T362" s="15" t="n">
        <f aca="false">S362/$P362</f>
        <v>1</v>
      </c>
      <c r="U362" s="14" t="n">
        <f aca="false">SUM(U361:U361)</f>
        <v>5500</v>
      </c>
      <c r="V362" s="15" t="n">
        <f aca="false">U362/$P362</f>
        <v>1</v>
      </c>
      <c r="W362" s="14" t="n">
        <f aca="false">SUM(W361:W361)</f>
        <v>5500</v>
      </c>
      <c r="X362" s="15" t="n">
        <f aca="false">W362/$P362</f>
        <v>1</v>
      </c>
      <c r="Y362" s="14" t="n">
        <f aca="false">SUM(Y361:Y361)</f>
        <v>6000</v>
      </c>
      <c r="Z362" s="14" t="n">
        <f aca="false">SUM(Z361:Z361)</f>
        <v>6000</v>
      </c>
    </row>
    <row r="364" customFormat="false" ht="13.9" hidden="false" customHeight="true" outlineLevel="0" collapsed="false">
      <c r="E364" s="39" t="s">
        <v>57</v>
      </c>
      <c r="F364" s="17" t="s">
        <v>230</v>
      </c>
      <c r="G364" s="40" t="n">
        <v>1000</v>
      </c>
      <c r="H364" s="40" t="n">
        <v>500</v>
      </c>
      <c r="I364" s="40" t="n">
        <v>1000</v>
      </c>
      <c r="J364" s="40" t="n">
        <v>500</v>
      </c>
      <c r="K364" s="40" t="n">
        <v>1000</v>
      </c>
      <c r="L364" s="40"/>
      <c r="M364" s="40"/>
      <c r="N364" s="40"/>
      <c r="O364" s="40" t="n">
        <v>-500</v>
      </c>
      <c r="P364" s="40" t="n">
        <f aca="false">K364+SUM(L364:O364)</f>
        <v>500</v>
      </c>
      <c r="Q364" s="40" t="n">
        <v>500</v>
      </c>
      <c r="R364" s="41" t="n">
        <f aca="false">Q364/$P364</f>
        <v>1</v>
      </c>
      <c r="S364" s="40" t="n">
        <v>500</v>
      </c>
      <c r="T364" s="41" t="n">
        <f aca="false">S364/$P364</f>
        <v>1</v>
      </c>
      <c r="U364" s="40" t="n">
        <v>500</v>
      </c>
      <c r="V364" s="41" t="n">
        <f aca="false">U364/$P364</f>
        <v>1</v>
      </c>
      <c r="W364" s="40" t="n">
        <v>500</v>
      </c>
      <c r="X364" s="42" t="n">
        <f aca="false">W364/$P364</f>
        <v>1</v>
      </c>
      <c r="Y364" s="40" t="n">
        <f aca="false">K364</f>
        <v>1000</v>
      </c>
      <c r="Z364" s="43" t="n">
        <f aca="false">Y364</f>
        <v>1000</v>
      </c>
    </row>
    <row r="365" customFormat="false" ht="13.9" hidden="true" customHeight="true" outlineLevel="0" collapsed="false">
      <c r="E365" s="44"/>
      <c r="F365" s="69" t="s">
        <v>231</v>
      </c>
      <c r="G365" s="70" t="n">
        <v>700</v>
      </c>
      <c r="H365" s="70" t="n">
        <v>0</v>
      </c>
      <c r="I365" s="70" t="n">
        <v>0</v>
      </c>
      <c r="J365" s="70" t="n">
        <v>0</v>
      </c>
      <c r="K365" s="70" t="n">
        <v>0</v>
      </c>
      <c r="L365" s="70"/>
      <c r="M365" s="70"/>
      <c r="N365" s="70"/>
      <c r="O365" s="70"/>
      <c r="P365" s="70" t="n">
        <f aca="false">K365+SUM(L365:O365)</f>
        <v>0</v>
      </c>
      <c r="Q365" s="70"/>
      <c r="R365" s="71" t="e">
        <f aca="false">Q365/$P365</f>
        <v>#DIV/0!</v>
      </c>
      <c r="S365" s="70"/>
      <c r="T365" s="71" t="e">
        <f aca="false">S365/$P365</f>
        <v>#DIV/0!</v>
      </c>
      <c r="U365" s="70"/>
      <c r="V365" s="71" t="e">
        <f aca="false">U365/$P365</f>
        <v>#DIV/0!</v>
      </c>
      <c r="W365" s="70"/>
      <c r="X365" s="47" t="e">
        <f aca="false">W365/$P365</f>
        <v>#DIV/0!</v>
      </c>
      <c r="Y365" s="70" t="n">
        <f aca="false">K365</f>
        <v>0</v>
      </c>
      <c r="Z365" s="48" t="n">
        <f aca="false">Y365</f>
        <v>0</v>
      </c>
    </row>
    <row r="366" customFormat="false" ht="13.9" hidden="false" customHeight="true" outlineLevel="0" collapsed="false">
      <c r="E366" s="52"/>
      <c r="F366" s="53" t="s">
        <v>232</v>
      </c>
      <c r="G366" s="54"/>
      <c r="H366" s="54"/>
      <c r="I366" s="54" t="n">
        <v>3000</v>
      </c>
      <c r="J366" s="54" t="n">
        <v>3000</v>
      </c>
      <c r="K366" s="54" t="n">
        <v>5000</v>
      </c>
      <c r="L366" s="54"/>
      <c r="M366" s="54"/>
      <c r="N366" s="54"/>
      <c r="O366" s="54"/>
      <c r="P366" s="54" t="n">
        <f aca="false">K366+SUM(L366:O366)</f>
        <v>5000</v>
      </c>
      <c r="Q366" s="54" t="n">
        <v>5000</v>
      </c>
      <c r="R366" s="55" t="n">
        <f aca="false">Q366/$P366</f>
        <v>1</v>
      </c>
      <c r="S366" s="54" t="n">
        <v>5000</v>
      </c>
      <c r="T366" s="55" t="n">
        <f aca="false">S366/$P366</f>
        <v>1</v>
      </c>
      <c r="U366" s="54" t="n">
        <v>5000</v>
      </c>
      <c r="V366" s="55" t="n">
        <f aca="false">U366/$P366</f>
        <v>1</v>
      </c>
      <c r="W366" s="54" t="n">
        <v>5000</v>
      </c>
      <c r="X366" s="56" t="n">
        <f aca="false">W366/$P366</f>
        <v>1</v>
      </c>
      <c r="Y366" s="54" t="n">
        <f aca="false">K366</f>
        <v>5000</v>
      </c>
      <c r="Z366" s="57" t="n">
        <f aca="false">Y366</f>
        <v>5000</v>
      </c>
    </row>
    <row r="367" customFormat="false" ht="13.9" hidden="true" customHeight="true" outlineLevel="0" collapsed="false">
      <c r="E367" s="52"/>
      <c r="F367" s="53" t="s">
        <v>233</v>
      </c>
      <c r="G367" s="54"/>
      <c r="H367" s="54" t="n">
        <v>1000</v>
      </c>
      <c r="I367" s="54" t="n">
        <v>750</v>
      </c>
      <c r="J367" s="54" t="n">
        <v>0</v>
      </c>
      <c r="K367" s="54" t="n">
        <v>0</v>
      </c>
      <c r="L367" s="54"/>
      <c r="M367" s="54"/>
      <c r="N367" s="54"/>
      <c r="O367" s="54"/>
      <c r="P367" s="54" t="n">
        <f aca="false">K367+SUM(L367:O367)</f>
        <v>0</v>
      </c>
      <c r="Q367" s="54"/>
      <c r="R367" s="55" t="e">
        <f aca="false">Q367/$P367</f>
        <v>#DIV/0!</v>
      </c>
      <c r="S367" s="54"/>
      <c r="T367" s="55" t="e">
        <f aca="false">S367/$P367</f>
        <v>#DIV/0!</v>
      </c>
      <c r="U367" s="54"/>
      <c r="V367" s="55" t="e">
        <f aca="false">U367/$P367</f>
        <v>#DIV/0!</v>
      </c>
      <c r="W367" s="54"/>
      <c r="X367" s="56" t="e">
        <f aca="false">W367/$P367</f>
        <v>#DIV/0!</v>
      </c>
      <c r="Y367" s="54" t="n">
        <f aca="false">K367</f>
        <v>0</v>
      </c>
      <c r="Z367" s="57" t="n">
        <f aca="false">Y367</f>
        <v>0</v>
      </c>
    </row>
    <row r="369" customFormat="false" ht="13.9" hidden="false" customHeight="true" outlineLevel="0" collapsed="false">
      <c r="D369" s="28" t="s">
        <v>234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9"/>
      <c r="S369" s="28"/>
      <c r="T369" s="29"/>
      <c r="U369" s="28"/>
      <c r="V369" s="29"/>
      <c r="W369" s="28"/>
      <c r="X369" s="29"/>
      <c r="Y369" s="28"/>
      <c r="Z369" s="28"/>
    </row>
    <row r="370" customFormat="false" ht="13.9" hidden="false" customHeight="true" outlineLevel="0" collapsed="false">
      <c r="D370" s="105"/>
      <c r="E370" s="105"/>
      <c r="F370" s="105"/>
      <c r="G370" s="7" t="s">
        <v>1</v>
      </c>
      <c r="H370" s="7" t="s">
        <v>2</v>
      </c>
      <c r="I370" s="7" t="s">
        <v>3</v>
      </c>
      <c r="J370" s="7" t="s">
        <v>4</v>
      </c>
      <c r="K370" s="7" t="s">
        <v>5</v>
      </c>
      <c r="L370" s="7" t="s">
        <v>6</v>
      </c>
      <c r="M370" s="7" t="s">
        <v>7</v>
      </c>
      <c r="N370" s="7" t="s">
        <v>8</v>
      </c>
      <c r="O370" s="7" t="s">
        <v>9</v>
      </c>
      <c r="P370" s="7" t="s">
        <v>10</v>
      </c>
      <c r="Q370" s="7" t="s">
        <v>11</v>
      </c>
      <c r="R370" s="8" t="s">
        <v>12</v>
      </c>
      <c r="S370" s="7" t="s">
        <v>13</v>
      </c>
      <c r="T370" s="8" t="s">
        <v>14</v>
      </c>
      <c r="U370" s="7" t="s">
        <v>15</v>
      </c>
      <c r="V370" s="8" t="s">
        <v>16</v>
      </c>
      <c r="W370" s="7" t="s">
        <v>17</v>
      </c>
      <c r="X370" s="8" t="s">
        <v>18</v>
      </c>
      <c r="Y370" s="7" t="s">
        <v>19</v>
      </c>
      <c r="Z370" s="7" t="s">
        <v>20</v>
      </c>
    </row>
    <row r="371" customFormat="false" ht="13.9" hidden="false" customHeight="true" outlineLevel="0" collapsed="false">
      <c r="A371" s="1" t="n">
        <v>6</v>
      </c>
      <c r="B371" s="1" t="n">
        <v>2</v>
      </c>
      <c r="D371" s="117" t="s">
        <v>21</v>
      </c>
      <c r="E371" s="118" t="n">
        <v>41</v>
      </c>
      <c r="F371" s="118" t="s">
        <v>23</v>
      </c>
      <c r="G371" s="11" t="n">
        <f aca="false">G378+G391+G402</f>
        <v>24504.28</v>
      </c>
      <c r="H371" s="11" t="n">
        <f aca="false">H378+H391+H402</f>
        <v>7219.87</v>
      </c>
      <c r="I371" s="11" t="n">
        <f aca="false">I378+I391+I402</f>
        <v>11962</v>
      </c>
      <c r="J371" s="11" t="n">
        <f aca="false">J378+J391+J402</f>
        <v>10350.09</v>
      </c>
      <c r="K371" s="11" t="n">
        <f aca="false">K378+K391+K402</f>
        <v>12027</v>
      </c>
      <c r="L371" s="11" t="n">
        <f aca="false">L378+L391+L402</f>
        <v>0</v>
      </c>
      <c r="M371" s="11" t="n">
        <f aca="false">M378+M391+M402</f>
        <v>0</v>
      </c>
      <c r="N371" s="11" t="n">
        <f aca="false">N378+N391+N402</f>
        <v>0</v>
      </c>
      <c r="O371" s="11" t="n">
        <f aca="false">O378+O391+O402</f>
        <v>663</v>
      </c>
      <c r="P371" s="11" t="n">
        <f aca="false">K371+SUM(L371:O371)</f>
        <v>12690</v>
      </c>
      <c r="Q371" s="11" t="n">
        <f aca="false">Q378+Q391+Q402</f>
        <v>898.51</v>
      </c>
      <c r="R371" s="12" t="n">
        <f aca="false">Q371/$P371</f>
        <v>0.0708045705279748</v>
      </c>
      <c r="S371" s="11" t="n">
        <f aca="false">S378+S391+S402</f>
        <v>1587.79</v>
      </c>
      <c r="T371" s="12" t="n">
        <f aca="false">S371/$P371</f>
        <v>0.125121355397951</v>
      </c>
      <c r="U371" s="11" t="n">
        <f aca="false">U378+U391+U402</f>
        <v>7579.2</v>
      </c>
      <c r="V371" s="12" t="n">
        <f aca="false">U371/$P371</f>
        <v>0.59725768321513</v>
      </c>
      <c r="W371" s="11" t="n">
        <f aca="false">W378+W391+W402</f>
        <v>12610.43</v>
      </c>
      <c r="X371" s="12" t="n">
        <f aca="false">W371/$P371</f>
        <v>0.993729708431836</v>
      </c>
      <c r="Y371" s="11" t="n">
        <f aca="false">Y378+Y391+Y402</f>
        <v>12027</v>
      </c>
      <c r="Z371" s="11" t="n">
        <f aca="false">Z378+Z391+Z402</f>
        <v>12027</v>
      </c>
    </row>
    <row r="372" customFormat="false" ht="13.9" hidden="false" customHeight="true" outlineLevel="0" collapsed="false">
      <c r="A372" s="1" t="n">
        <v>6</v>
      </c>
      <c r="B372" s="1" t="n">
        <v>2</v>
      </c>
      <c r="D372" s="17"/>
      <c r="E372" s="18"/>
      <c r="F372" s="13" t="s">
        <v>122</v>
      </c>
      <c r="G372" s="14" t="n">
        <f aca="false">SUM(G371:G371)</f>
        <v>24504.28</v>
      </c>
      <c r="H372" s="14" t="n">
        <f aca="false">SUM(H371:H371)</f>
        <v>7219.87</v>
      </c>
      <c r="I372" s="14" t="n">
        <f aca="false">SUM(I371:I371)</f>
        <v>11962</v>
      </c>
      <c r="J372" s="14" t="n">
        <f aca="false">SUM(J371:J371)</f>
        <v>10350.09</v>
      </c>
      <c r="K372" s="14" t="n">
        <f aca="false">SUM(K371:K371)</f>
        <v>12027</v>
      </c>
      <c r="L372" s="14" t="n">
        <f aca="false">SUM(L371:L371)</f>
        <v>0</v>
      </c>
      <c r="M372" s="14" t="n">
        <f aca="false">SUM(M371:M371)</f>
        <v>0</v>
      </c>
      <c r="N372" s="14" t="n">
        <f aca="false">SUM(N371:N371)</f>
        <v>0</v>
      </c>
      <c r="O372" s="14" t="n">
        <f aca="false">SUM(O371:O371)</f>
        <v>663</v>
      </c>
      <c r="P372" s="14" t="n">
        <f aca="false">SUM(P371:P371)</f>
        <v>12690</v>
      </c>
      <c r="Q372" s="14" t="n">
        <f aca="false">SUM(Q371:Q371)</f>
        <v>898.51</v>
      </c>
      <c r="R372" s="15" t="n">
        <f aca="false">Q372/$P372</f>
        <v>0.0708045705279748</v>
      </c>
      <c r="S372" s="14" t="n">
        <f aca="false">SUM(S371:S371)</f>
        <v>1587.79</v>
      </c>
      <c r="T372" s="15" t="n">
        <f aca="false">S372/$P372</f>
        <v>0.125121355397951</v>
      </c>
      <c r="U372" s="14" t="n">
        <f aca="false">SUM(U371:U371)</f>
        <v>7579.2</v>
      </c>
      <c r="V372" s="15" t="n">
        <f aca="false">U372/$P372</f>
        <v>0.59725768321513</v>
      </c>
      <c r="W372" s="14" t="n">
        <f aca="false">SUM(W371:W371)</f>
        <v>12610.43</v>
      </c>
      <c r="X372" s="15" t="n">
        <f aca="false">W372/$P372</f>
        <v>0.993729708431836</v>
      </c>
      <c r="Y372" s="14" t="n">
        <f aca="false">SUM(Y371:Y371)</f>
        <v>12027</v>
      </c>
      <c r="Z372" s="14" t="n">
        <f aca="false">SUM(Z371:Z371)</f>
        <v>12027</v>
      </c>
    </row>
    <row r="374" customFormat="false" ht="13.9" hidden="false" customHeight="true" outlineLevel="0" collapsed="false">
      <c r="D374" s="60" t="s">
        <v>235</v>
      </c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1"/>
      <c r="S374" s="60"/>
      <c r="T374" s="61"/>
      <c r="U374" s="60"/>
      <c r="V374" s="61"/>
      <c r="W374" s="60"/>
      <c r="X374" s="61"/>
      <c r="Y374" s="60"/>
      <c r="Z374" s="60"/>
    </row>
    <row r="375" customFormat="false" ht="13.9" hidden="false" customHeight="true" outlineLevel="0" collapsed="false">
      <c r="D375" s="7" t="s">
        <v>33</v>
      </c>
      <c r="E375" s="7" t="s">
        <v>34</v>
      </c>
      <c r="F375" s="7" t="s">
        <v>35</v>
      </c>
      <c r="G375" s="7" t="s">
        <v>1</v>
      </c>
      <c r="H375" s="7" t="s">
        <v>2</v>
      </c>
      <c r="I375" s="7" t="s">
        <v>3</v>
      </c>
      <c r="J375" s="7" t="s">
        <v>4</v>
      </c>
      <c r="K375" s="7" t="s">
        <v>5</v>
      </c>
      <c r="L375" s="7" t="s">
        <v>6</v>
      </c>
      <c r="M375" s="7" t="s">
        <v>7</v>
      </c>
      <c r="N375" s="7" t="s">
        <v>8</v>
      </c>
      <c r="O375" s="7" t="s">
        <v>9</v>
      </c>
      <c r="P375" s="7" t="s">
        <v>10</v>
      </c>
      <c r="Q375" s="7" t="s">
        <v>11</v>
      </c>
      <c r="R375" s="8" t="s">
        <v>12</v>
      </c>
      <c r="S375" s="7" t="s">
        <v>13</v>
      </c>
      <c r="T375" s="8" t="s">
        <v>14</v>
      </c>
      <c r="U375" s="7" t="s">
        <v>15</v>
      </c>
      <c r="V375" s="8" t="s">
        <v>16</v>
      </c>
      <c r="W375" s="7" t="s">
        <v>17</v>
      </c>
      <c r="X375" s="8" t="s">
        <v>18</v>
      </c>
      <c r="Y375" s="7" t="s">
        <v>19</v>
      </c>
      <c r="Z375" s="7" t="s">
        <v>20</v>
      </c>
    </row>
    <row r="376" customFormat="false" ht="13.9" hidden="true" customHeight="true" outlineLevel="0" collapsed="false">
      <c r="A376" s="1" t="n">
        <v>6</v>
      </c>
      <c r="B376" s="1" t="n">
        <v>2</v>
      </c>
      <c r="C376" s="1" t="n">
        <v>1</v>
      </c>
      <c r="D376" s="74" t="s">
        <v>236</v>
      </c>
      <c r="E376" s="10" t="n">
        <v>620</v>
      </c>
      <c r="F376" s="10" t="s">
        <v>128</v>
      </c>
      <c r="G376" s="11" t="n">
        <v>26.19</v>
      </c>
      <c r="H376" s="11" t="n">
        <v>0</v>
      </c>
      <c r="I376" s="11" t="n">
        <v>0</v>
      </c>
      <c r="J376" s="11" t="n">
        <v>0</v>
      </c>
      <c r="K376" s="11" t="n">
        <v>0</v>
      </c>
      <c r="L376" s="11"/>
      <c r="M376" s="11"/>
      <c r="N376" s="11"/>
      <c r="O376" s="11"/>
      <c r="P376" s="11" t="n">
        <f aca="false">K376+SUM(L376:O376)</f>
        <v>0</v>
      </c>
      <c r="Q376" s="11" t="n">
        <v>0</v>
      </c>
      <c r="R376" s="12" t="e">
        <f aca="false">Q376/$P376</f>
        <v>#DIV/0!</v>
      </c>
      <c r="S376" s="11" t="n">
        <v>0</v>
      </c>
      <c r="T376" s="12" t="e">
        <f aca="false">S376/$P376</f>
        <v>#DIV/0!</v>
      </c>
      <c r="U376" s="11" t="n">
        <v>0</v>
      </c>
      <c r="V376" s="12" t="e">
        <f aca="false">U376/$P376</f>
        <v>#DIV/0!</v>
      </c>
      <c r="W376" s="11" t="n">
        <v>0</v>
      </c>
      <c r="X376" s="12" t="e">
        <f aca="false">W376/$P376</f>
        <v>#DIV/0!</v>
      </c>
      <c r="Y376" s="11" t="n">
        <v>0</v>
      </c>
      <c r="Z376" s="11" t="n">
        <f aca="false">Y376</f>
        <v>0</v>
      </c>
    </row>
    <row r="377" customFormat="false" ht="13.9" hidden="false" customHeight="true" outlineLevel="0" collapsed="false">
      <c r="A377" s="1" t="n">
        <v>6</v>
      </c>
      <c r="B377" s="1" t="n">
        <v>2</v>
      </c>
      <c r="C377" s="1" t="n">
        <v>1</v>
      </c>
      <c r="D377" s="74" t="s">
        <v>236</v>
      </c>
      <c r="E377" s="10" t="n">
        <v>630</v>
      </c>
      <c r="F377" s="10" t="s">
        <v>129</v>
      </c>
      <c r="G377" s="11" t="n">
        <v>6836.82</v>
      </c>
      <c r="H377" s="33" t="n">
        <v>3085</v>
      </c>
      <c r="I377" s="33" t="n">
        <v>1545</v>
      </c>
      <c r="J377" s="33" t="n">
        <v>1166.99</v>
      </c>
      <c r="K377" s="33" t="n">
        <v>489</v>
      </c>
      <c r="L377" s="33"/>
      <c r="M377" s="33"/>
      <c r="N377" s="33"/>
      <c r="O377" s="33"/>
      <c r="P377" s="33" t="n">
        <f aca="false">K377+SUM(L377:O377)</f>
        <v>489</v>
      </c>
      <c r="Q377" s="33" t="n">
        <v>79</v>
      </c>
      <c r="R377" s="34" t="n">
        <f aca="false">Q377/$P377</f>
        <v>0.161554192229039</v>
      </c>
      <c r="S377" s="33" t="n">
        <v>197.5</v>
      </c>
      <c r="T377" s="34" t="n">
        <f aca="false">S377/$P377</f>
        <v>0.403885480572597</v>
      </c>
      <c r="U377" s="33" t="n">
        <v>316</v>
      </c>
      <c r="V377" s="34" t="n">
        <f aca="false">U377/$P377</f>
        <v>0.646216768916155</v>
      </c>
      <c r="W377" s="33" t="n">
        <v>434.5</v>
      </c>
      <c r="X377" s="34" t="n">
        <f aca="false">W377/$P377</f>
        <v>0.888548057259714</v>
      </c>
      <c r="Y377" s="33" t="n">
        <f aca="false">K377</f>
        <v>489</v>
      </c>
      <c r="Z377" s="33" t="n">
        <f aca="false">Y377</f>
        <v>489</v>
      </c>
    </row>
    <row r="378" customFormat="false" ht="13.9" hidden="false" customHeight="true" outlineLevel="0" collapsed="false">
      <c r="A378" s="1" t="n">
        <v>6</v>
      </c>
      <c r="B378" s="1" t="n">
        <v>2</v>
      </c>
      <c r="C378" s="1" t="n">
        <v>1</v>
      </c>
      <c r="D378" s="67" t="s">
        <v>21</v>
      </c>
      <c r="E378" s="13" t="n">
        <v>41</v>
      </c>
      <c r="F378" s="13" t="s">
        <v>23</v>
      </c>
      <c r="G378" s="14" t="n">
        <f aca="false">SUM(G376:G377)</f>
        <v>6863.01</v>
      </c>
      <c r="H378" s="14" t="n">
        <f aca="false">SUM(H376:H377)</f>
        <v>3085</v>
      </c>
      <c r="I378" s="14" t="n">
        <f aca="false">SUM(I376:I377)</f>
        <v>1545</v>
      </c>
      <c r="J378" s="14" t="n">
        <f aca="false">SUM(J376:J377)</f>
        <v>1166.99</v>
      </c>
      <c r="K378" s="14" t="n">
        <f aca="false">SUM(K376:K377)</f>
        <v>489</v>
      </c>
      <c r="L378" s="14" t="n">
        <f aca="false">SUM(L376:L377)</f>
        <v>0</v>
      </c>
      <c r="M378" s="14" t="n">
        <f aca="false">SUM(M376:M377)</f>
        <v>0</v>
      </c>
      <c r="N378" s="14" t="n">
        <f aca="false">SUM(N376:N377)</f>
        <v>0</v>
      </c>
      <c r="O378" s="14" t="n">
        <f aca="false">SUM(O376:O377)</f>
        <v>0</v>
      </c>
      <c r="P378" s="14" t="n">
        <f aca="false">SUM(P376:P377)</f>
        <v>489</v>
      </c>
      <c r="Q378" s="14" t="n">
        <f aca="false">SUM(Q376:Q377)</f>
        <v>79</v>
      </c>
      <c r="R378" s="15" t="n">
        <f aca="false">Q378/$P378</f>
        <v>0.161554192229039</v>
      </c>
      <c r="S378" s="14" t="n">
        <f aca="false">SUM(S376:S377)</f>
        <v>197.5</v>
      </c>
      <c r="T378" s="15" t="n">
        <f aca="false">S378/$P378</f>
        <v>0.403885480572597</v>
      </c>
      <c r="U378" s="14" t="n">
        <f aca="false">SUM(U376:U377)</f>
        <v>316</v>
      </c>
      <c r="V378" s="15" t="n">
        <f aca="false">U378/$P378</f>
        <v>0.646216768916155</v>
      </c>
      <c r="W378" s="14" t="n">
        <f aca="false">SUM(W376:W377)</f>
        <v>434.5</v>
      </c>
      <c r="X378" s="15" t="n">
        <f aca="false">W378/$P378</f>
        <v>0.888548057259714</v>
      </c>
      <c r="Y378" s="14" t="n">
        <f aca="false">SUM(Y376:Y377)</f>
        <v>489</v>
      </c>
      <c r="Z378" s="14" t="n">
        <f aca="false">SUM(Z376:Z377)</f>
        <v>489</v>
      </c>
    </row>
    <row r="380" customFormat="false" ht="13.9" hidden="false" customHeight="true" outlineLevel="0" collapsed="false">
      <c r="E380" s="39" t="s">
        <v>57</v>
      </c>
      <c r="F380" s="17" t="s">
        <v>147</v>
      </c>
      <c r="G380" s="40" t="n">
        <v>1017.94</v>
      </c>
      <c r="H380" s="40" t="n">
        <v>979</v>
      </c>
      <c r="I380" s="40" t="n">
        <v>759</v>
      </c>
      <c r="J380" s="40" t="n">
        <v>519.2</v>
      </c>
      <c r="K380" s="40" t="n">
        <v>284</v>
      </c>
      <c r="L380" s="40"/>
      <c r="M380" s="40"/>
      <c r="N380" s="40" t="n">
        <v>101</v>
      </c>
      <c r="O380" s="40"/>
      <c r="P380" s="40" t="n">
        <f aca="false">K380+SUM(L380:O380)</f>
        <v>385</v>
      </c>
      <c r="Q380" s="40" t="n">
        <v>70</v>
      </c>
      <c r="R380" s="41" t="n">
        <f aca="false">Q380/$P380</f>
        <v>0.181818181818182</v>
      </c>
      <c r="S380" s="40" t="n">
        <v>175</v>
      </c>
      <c r="T380" s="41" t="n">
        <f aca="false">S380/$P380</f>
        <v>0.454545454545455</v>
      </c>
      <c r="U380" s="40" t="n">
        <v>280</v>
      </c>
      <c r="V380" s="41" t="n">
        <f aca="false">U380/$P380</f>
        <v>0.727272727272727</v>
      </c>
      <c r="W380" s="40" t="n">
        <v>385</v>
      </c>
      <c r="X380" s="42" t="n">
        <f aca="false">W380/$P380</f>
        <v>1</v>
      </c>
      <c r="Y380" s="40" t="n">
        <f aca="false">K380</f>
        <v>284</v>
      </c>
      <c r="Z380" s="43" t="n">
        <f aca="false">Y380</f>
        <v>284</v>
      </c>
    </row>
    <row r="381" customFormat="false" ht="13.9" hidden="false" customHeight="true" outlineLevel="0" collapsed="false">
      <c r="E381" s="52"/>
      <c r="F381" s="53" t="s">
        <v>148</v>
      </c>
      <c r="G381" s="54" t="n">
        <v>1920.12</v>
      </c>
      <c r="H381" s="54" t="n">
        <v>1956</v>
      </c>
      <c r="I381" s="54" t="n">
        <v>636</v>
      </c>
      <c r="J381" s="54" t="n">
        <v>636</v>
      </c>
      <c r="K381" s="54" t="n">
        <v>55</v>
      </c>
      <c r="L381" s="54"/>
      <c r="M381" s="54"/>
      <c r="N381" s="54" t="n">
        <v>-5</v>
      </c>
      <c r="O381" s="54"/>
      <c r="P381" s="54" t="n">
        <f aca="false">K381+SUM(L381:O381)</f>
        <v>50</v>
      </c>
      <c r="Q381" s="54" t="n">
        <v>9</v>
      </c>
      <c r="R381" s="55" t="n">
        <f aca="false">Q381/$P381</f>
        <v>0.18</v>
      </c>
      <c r="S381" s="54" t="n">
        <v>22.5</v>
      </c>
      <c r="T381" s="55" t="n">
        <f aca="false">S381/$P381</f>
        <v>0.45</v>
      </c>
      <c r="U381" s="54" t="n">
        <v>36</v>
      </c>
      <c r="V381" s="55" t="n">
        <f aca="false">U381/$P381</f>
        <v>0.72</v>
      </c>
      <c r="W381" s="54" t="n">
        <v>49.5</v>
      </c>
      <c r="X381" s="56" t="n">
        <f aca="false">W381/$P381</f>
        <v>0.99</v>
      </c>
      <c r="Y381" s="54" t="n">
        <f aca="false">K381</f>
        <v>55</v>
      </c>
      <c r="Z381" s="57" t="n">
        <f aca="false">Y381</f>
        <v>55</v>
      </c>
    </row>
    <row r="382" customFormat="false" ht="13.9" hidden="true" customHeight="true" outlineLevel="0" collapsed="false">
      <c r="E382" s="44"/>
      <c r="F382" s="45" t="s">
        <v>237</v>
      </c>
      <c r="G382" s="46" t="n">
        <v>1300.2</v>
      </c>
      <c r="H382" s="46" t="n">
        <v>0</v>
      </c>
      <c r="I382" s="46" t="n">
        <v>0</v>
      </c>
      <c r="J382" s="46" t="n">
        <v>0</v>
      </c>
      <c r="K382" s="70" t="n">
        <v>0</v>
      </c>
      <c r="L382" s="70"/>
      <c r="M382" s="70"/>
      <c r="N382" s="70"/>
      <c r="O382" s="70"/>
      <c r="P382" s="70" t="n">
        <f aca="false">K382+SUM(L382:O382)</f>
        <v>0</v>
      </c>
      <c r="Q382" s="70"/>
      <c r="R382" s="71" t="e">
        <f aca="false">Q382/$P382</f>
        <v>#DIV/0!</v>
      </c>
      <c r="S382" s="70"/>
      <c r="T382" s="71" t="e">
        <f aca="false">S382/$P382</f>
        <v>#DIV/0!</v>
      </c>
      <c r="U382" s="70"/>
      <c r="V382" s="71" t="e">
        <f aca="false">U382/$P382</f>
        <v>#DIV/0!</v>
      </c>
      <c r="W382" s="70"/>
      <c r="X382" s="47" t="e">
        <f aca="false">W382/$P382</f>
        <v>#DIV/0!</v>
      </c>
      <c r="Y382" s="70" t="n">
        <f aca="false">K382</f>
        <v>0</v>
      </c>
      <c r="Z382" s="48" t="n">
        <f aca="false">Y382</f>
        <v>0</v>
      </c>
    </row>
    <row r="383" customFormat="false" ht="13.9" hidden="true" customHeight="true" outlineLevel="0" collapsed="false">
      <c r="E383" s="44"/>
      <c r="F383" s="45" t="s">
        <v>238</v>
      </c>
      <c r="G383" s="46" t="n">
        <v>2160</v>
      </c>
      <c r="H383" s="46" t="n">
        <v>0</v>
      </c>
      <c r="I383" s="46" t="n">
        <v>0</v>
      </c>
      <c r="J383" s="46" t="n">
        <v>0</v>
      </c>
      <c r="K383" s="46" t="n">
        <v>0</v>
      </c>
      <c r="L383" s="46"/>
      <c r="M383" s="46"/>
      <c r="N383" s="46"/>
      <c r="O383" s="46"/>
      <c r="P383" s="46" t="n">
        <f aca="false">K383+SUM(L383:O383)</f>
        <v>0</v>
      </c>
      <c r="Q383" s="46"/>
      <c r="R383" s="2" t="e">
        <f aca="false">Q383/$P383</f>
        <v>#DIV/0!</v>
      </c>
      <c r="S383" s="46"/>
      <c r="T383" s="2" t="e">
        <f aca="false">S383/$P383</f>
        <v>#DIV/0!</v>
      </c>
      <c r="U383" s="46"/>
      <c r="V383" s="2" t="e">
        <f aca="false">U383/$P383</f>
        <v>#DIV/0!</v>
      </c>
      <c r="W383" s="46"/>
      <c r="X383" s="47" t="e">
        <f aca="false">W383/$P383</f>
        <v>#DIV/0!</v>
      </c>
      <c r="Y383" s="46" t="n">
        <f aca="false">K383</f>
        <v>0</v>
      </c>
      <c r="Z383" s="48" t="n">
        <f aca="false">Y383</f>
        <v>0</v>
      </c>
    </row>
    <row r="384" customFormat="false" ht="13.9" hidden="true" customHeight="true" outlineLevel="0" collapsed="false">
      <c r="E384" s="52"/>
      <c r="F384" s="86" t="s">
        <v>239</v>
      </c>
      <c r="G384" s="54" t="n">
        <v>278.63</v>
      </c>
      <c r="H384" s="54" t="n">
        <v>0</v>
      </c>
      <c r="I384" s="54" t="n">
        <v>0</v>
      </c>
      <c r="J384" s="54" t="n">
        <v>0</v>
      </c>
      <c r="K384" s="54" t="n">
        <v>0</v>
      </c>
      <c r="L384" s="54"/>
      <c r="M384" s="54"/>
      <c r="N384" s="54"/>
      <c r="O384" s="54"/>
      <c r="P384" s="54" t="n">
        <f aca="false">K384+SUM(L384:O384)</f>
        <v>0</v>
      </c>
      <c r="Q384" s="54"/>
      <c r="R384" s="55" t="e">
        <f aca="false">Q384/$P384</f>
        <v>#DIV/0!</v>
      </c>
      <c r="S384" s="54"/>
      <c r="T384" s="55" t="e">
        <f aca="false">S384/$P384</f>
        <v>#DIV/0!</v>
      </c>
      <c r="U384" s="54"/>
      <c r="V384" s="55" t="e">
        <f aca="false">U384/$P384</f>
        <v>#DIV/0!</v>
      </c>
      <c r="W384" s="54"/>
      <c r="X384" s="56" t="e">
        <f aca="false">W384/$P384</f>
        <v>#DIV/0!</v>
      </c>
      <c r="Y384" s="54" t="n">
        <f aca="false">K384</f>
        <v>0</v>
      </c>
      <c r="Z384" s="57" t="n">
        <f aca="false">Y384</f>
        <v>0</v>
      </c>
    </row>
    <row r="386" customFormat="false" ht="13.9" hidden="false" customHeight="true" outlineLevel="0" collapsed="false">
      <c r="D386" s="60" t="s">
        <v>240</v>
      </c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1"/>
      <c r="S386" s="60"/>
      <c r="T386" s="61"/>
      <c r="U386" s="60"/>
      <c r="V386" s="61"/>
      <c r="W386" s="60"/>
      <c r="X386" s="61"/>
      <c r="Y386" s="60"/>
      <c r="Z386" s="60"/>
    </row>
    <row r="387" customFormat="false" ht="13.9" hidden="false" customHeight="true" outlineLevel="0" collapsed="false">
      <c r="D387" s="7" t="s">
        <v>33</v>
      </c>
      <c r="E387" s="7" t="s">
        <v>34</v>
      </c>
      <c r="F387" s="7" t="s">
        <v>35</v>
      </c>
      <c r="G387" s="7" t="s">
        <v>1</v>
      </c>
      <c r="H387" s="7" t="s">
        <v>2</v>
      </c>
      <c r="I387" s="7" t="s">
        <v>3</v>
      </c>
      <c r="J387" s="7" t="s">
        <v>4</v>
      </c>
      <c r="K387" s="7" t="s">
        <v>5</v>
      </c>
      <c r="L387" s="7" t="s">
        <v>6</v>
      </c>
      <c r="M387" s="7" t="s">
        <v>7</v>
      </c>
      <c r="N387" s="7" t="s">
        <v>8</v>
      </c>
      <c r="O387" s="7" t="s">
        <v>9</v>
      </c>
      <c r="P387" s="7" t="s">
        <v>10</v>
      </c>
      <c r="Q387" s="7" t="s">
        <v>11</v>
      </c>
      <c r="R387" s="8" t="s">
        <v>12</v>
      </c>
      <c r="S387" s="7" t="s">
        <v>13</v>
      </c>
      <c r="T387" s="8" t="s">
        <v>14</v>
      </c>
      <c r="U387" s="7" t="s">
        <v>15</v>
      </c>
      <c r="V387" s="8" t="s">
        <v>16</v>
      </c>
      <c r="W387" s="7" t="s">
        <v>17</v>
      </c>
      <c r="X387" s="8" t="s">
        <v>18</v>
      </c>
      <c r="Y387" s="7" t="s">
        <v>19</v>
      </c>
      <c r="Z387" s="7" t="s">
        <v>20</v>
      </c>
    </row>
    <row r="388" customFormat="false" ht="13.9" hidden="true" customHeight="true" outlineLevel="0" collapsed="false">
      <c r="A388" s="1" t="n">
        <v>6</v>
      </c>
      <c r="B388" s="1" t="n">
        <v>2</v>
      </c>
      <c r="C388" s="1" t="n">
        <v>2</v>
      </c>
      <c r="D388" s="74" t="s">
        <v>236</v>
      </c>
      <c r="E388" s="10" t="n">
        <v>620</v>
      </c>
      <c r="F388" s="10" t="s">
        <v>128</v>
      </c>
      <c r="G388" s="11" t="n">
        <v>122.1</v>
      </c>
      <c r="H388" s="11" t="n">
        <v>11.15</v>
      </c>
      <c r="I388" s="11" t="n">
        <v>0</v>
      </c>
      <c r="J388" s="11" t="n">
        <v>0</v>
      </c>
      <c r="K388" s="11" t="n">
        <v>0</v>
      </c>
      <c r="L388" s="11"/>
      <c r="M388" s="11"/>
      <c r="N388" s="11"/>
      <c r="O388" s="11"/>
      <c r="P388" s="11" t="n">
        <f aca="false">K388+SUM(L388:O388)</f>
        <v>0</v>
      </c>
      <c r="Q388" s="11"/>
      <c r="R388" s="12" t="e">
        <f aca="false">Q388/$P388</f>
        <v>#DIV/0!</v>
      </c>
      <c r="S388" s="11"/>
      <c r="T388" s="12" t="e">
        <f aca="false">S388/$P388</f>
        <v>#DIV/0!</v>
      </c>
      <c r="U388" s="11"/>
      <c r="V388" s="12" t="e">
        <f aca="false">U388/$P388</f>
        <v>#DIV/0!</v>
      </c>
      <c r="W388" s="11"/>
      <c r="X388" s="12" t="e">
        <f aca="false">W388/$P388</f>
        <v>#DIV/0!</v>
      </c>
      <c r="Y388" s="11" t="n">
        <f aca="false">K388</f>
        <v>0</v>
      </c>
      <c r="Z388" s="11" t="n">
        <f aca="false">Y388</f>
        <v>0</v>
      </c>
    </row>
    <row r="389" customFormat="false" ht="13.9" hidden="false" customHeight="true" outlineLevel="0" collapsed="false">
      <c r="A389" s="1" t="n">
        <v>6</v>
      </c>
      <c r="B389" s="1" t="n">
        <v>2</v>
      </c>
      <c r="C389" s="1" t="n">
        <v>2</v>
      </c>
      <c r="D389" s="74" t="s">
        <v>236</v>
      </c>
      <c r="E389" s="10" t="n">
        <v>630</v>
      </c>
      <c r="F389" s="10" t="s">
        <v>129</v>
      </c>
      <c r="G389" s="11" t="n">
        <v>9036</v>
      </c>
      <c r="H389" s="11" t="n">
        <v>1852.86</v>
      </c>
      <c r="I389" s="11" t="n">
        <v>4924</v>
      </c>
      <c r="J389" s="11" t="n">
        <v>6320.3</v>
      </c>
      <c r="K389" s="11" t="n">
        <v>6000</v>
      </c>
      <c r="L389" s="11"/>
      <c r="M389" s="11"/>
      <c r="N389" s="11"/>
      <c r="O389" s="11" t="n">
        <v>663</v>
      </c>
      <c r="P389" s="11" t="n">
        <f aca="false">K389+SUM(L389:O389)</f>
        <v>6663</v>
      </c>
      <c r="Q389" s="11" t="n">
        <v>0</v>
      </c>
      <c r="R389" s="12" t="n">
        <f aca="false">Q389/$P389</f>
        <v>0</v>
      </c>
      <c r="S389" s="11" t="n">
        <v>10.8</v>
      </c>
      <c r="T389" s="12" t="n">
        <f aca="false">S389/$P389</f>
        <v>0.00162089149031968</v>
      </c>
      <c r="U389" s="11" t="n">
        <v>5051.6</v>
      </c>
      <c r="V389" s="12" t="n">
        <f aca="false">U389/$P389</f>
        <v>0.758156986342488</v>
      </c>
      <c r="W389" s="11" t="n">
        <v>6662.96</v>
      </c>
      <c r="X389" s="12" t="n">
        <f aca="false">W389/$P389</f>
        <v>0.999993996698184</v>
      </c>
      <c r="Y389" s="11" t="n">
        <f aca="false">K389</f>
        <v>6000</v>
      </c>
      <c r="Z389" s="11" t="n">
        <f aca="false">Y389</f>
        <v>6000</v>
      </c>
    </row>
    <row r="390" customFormat="false" ht="13.9" hidden="false" customHeight="true" outlineLevel="0" collapsed="false">
      <c r="A390" s="1" t="n">
        <v>6</v>
      </c>
      <c r="B390" s="1" t="n">
        <v>2</v>
      </c>
      <c r="C390" s="1" t="n">
        <v>2</v>
      </c>
      <c r="D390" s="74" t="s">
        <v>236</v>
      </c>
      <c r="E390" s="10" t="n">
        <v>640</v>
      </c>
      <c r="F390" s="10" t="s">
        <v>130</v>
      </c>
      <c r="G390" s="11" t="n">
        <v>4350</v>
      </c>
      <c r="H390" s="11" t="n">
        <v>0</v>
      </c>
      <c r="I390" s="11" t="n">
        <v>2650</v>
      </c>
      <c r="J390" s="11" t="n">
        <v>150</v>
      </c>
      <c r="K390" s="11" t="n">
        <v>2675</v>
      </c>
      <c r="L390" s="11"/>
      <c r="M390" s="11"/>
      <c r="N390" s="11"/>
      <c r="O390" s="11"/>
      <c r="P390" s="11" t="n">
        <f aca="false">K390+SUM(L390:O390)</f>
        <v>2675</v>
      </c>
      <c r="Q390" s="11" t="n">
        <v>0</v>
      </c>
      <c r="R390" s="12" t="n">
        <f aca="false">Q390/$P390</f>
        <v>0</v>
      </c>
      <c r="S390" s="11" t="n">
        <v>0</v>
      </c>
      <c r="T390" s="12" t="n">
        <f aca="false">S390/$P390</f>
        <v>0</v>
      </c>
      <c r="U390" s="11" t="n">
        <v>0</v>
      </c>
      <c r="V390" s="12" t="n">
        <f aca="false">U390/$P390</f>
        <v>0</v>
      </c>
      <c r="W390" s="11" t="n">
        <v>2675</v>
      </c>
      <c r="X390" s="12" t="n">
        <f aca="false">W390/$P390</f>
        <v>1</v>
      </c>
      <c r="Y390" s="11" t="n">
        <f aca="false">K390</f>
        <v>2675</v>
      </c>
      <c r="Z390" s="11" t="n">
        <f aca="false">Y390</f>
        <v>2675</v>
      </c>
    </row>
    <row r="391" customFormat="false" ht="13.9" hidden="false" customHeight="true" outlineLevel="0" collapsed="false">
      <c r="A391" s="1" t="n">
        <v>6</v>
      </c>
      <c r="B391" s="1" t="n">
        <v>2</v>
      </c>
      <c r="C391" s="1" t="n">
        <v>2</v>
      </c>
      <c r="D391" s="67" t="s">
        <v>21</v>
      </c>
      <c r="E391" s="13" t="n">
        <v>41</v>
      </c>
      <c r="F391" s="13" t="s">
        <v>23</v>
      </c>
      <c r="G391" s="14" t="n">
        <f aca="false">SUM(G388:G390)</f>
        <v>13508.1</v>
      </c>
      <c r="H391" s="14" t="n">
        <f aca="false">SUM(H388:H390)</f>
        <v>1864.01</v>
      </c>
      <c r="I391" s="14" t="n">
        <f aca="false">SUM(I388:I390)</f>
        <v>7574</v>
      </c>
      <c r="J391" s="14" t="n">
        <f aca="false">SUM(J388:J390)</f>
        <v>6470.3</v>
      </c>
      <c r="K391" s="14" t="n">
        <f aca="false">SUM(K388:K390)</f>
        <v>8675</v>
      </c>
      <c r="L391" s="14" t="n">
        <f aca="false">SUM(L388:L390)</f>
        <v>0</v>
      </c>
      <c r="M391" s="14" t="n">
        <f aca="false">SUM(M388:M390)</f>
        <v>0</v>
      </c>
      <c r="N391" s="14" t="n">
        <f aca="false">SUM(N388:N390)</f>
        <v>0</v>
      </c>
      <c r="O391" s="14" t="n">
        <f aca="false">SUM(O388:O390)</f>
        <v>663</v>
      </c>
      <c r="P391" s="14" t="n">
        <f aca="false">SUM(P388:P390)</f>
        <v>9338</v>
      </c>
      <c r="Q391" s="14" t="n">
        <f aca="false">SUM(Q388:Q390)</f>
        <v>0</v>
      </c>
      <c r="R391" s="15" t="n">
        <f aca="false">Q391/$P391</f>
        <v>0</v>
      </c>
      <c r="S391" s="14" t="n">
        <f aca="false">SUM(S388:S390)</f>
        <v>10.8</v>
      </c>
      <c r="T391" s="15" t="n">
        <f aca="false">S391/$P391</f>
        <v>0.00115656457485543</v>
      </c>
      <c r="U391" s="14" t="n">
        <f aca="false">SUM(U388:U390)</f>
        <v>5051.6</v>
      </c>
      <c r="V391" s="15" t="n">
        <f aca="false">U391/$P391</f>
        <v>0.540972370957379</v>
      </c>
      <c r="W391" s="14" t="n">
        <f aca="false">SUM(W388:W390)</f>
        <v>9337.96</v>
      </c>
      <c r="X391" s="15" t="n">
        <f aca="false">W391/$P391</f>
        <v>0.9999957164275</v>
      </c>
      <c r="Y391" s="14" t="n">
        <f aca="false">SUM(Y388:Y390)</f>
        <v>8675</v>
      </c>
      <c r="Z391" s="14" t="n">
        <f aca="false">SUM(Z388:Z390)</f>
        <v>8675</v>
      </c>
    </row>
    <row r="393" customFormat="false" ht="13.9" hidden="false" customHeight="true" outlineLevel="0" collapsed="false">
      <c r="E393" s="39" t="s">
        <v>57</v>
      </c>
      <c r="F393" s="17" t="s">
        <v>241</v>
      </c>
      <c r="G393" s="40" t="n">
        <v>4000</v>
      </c>
      <c r="H393" s="40" t="n">
        <v>0</v>
      </c>
      <c r="I393" s="40" t="n">
        <v>2500</v>
      </c>
      <c r="J393" s="40" t="n">
        <v>0</v>
      </c>
      <c r="K393" s="40" t="n">
        <v>2500</v>
      </c>
      <c r="L393" s="40"/>
      <c r="M393" s="40"/>
      <c r="N393" s="40"/>
      <c r="O393" s="40"/>
      <c r="P393" s="40" t="n">
        <f aca="false">K393+SUM(L393:O393)</f>
        <v>2500</v>
      </c>
      <c r="Q393" s="40" t="n">
        <v>0</v>
      </c>
      <c r="R393" s="41" t="n">
        <f aca="false">Q393/$P393</f>
        <v>0</v>
      </c>
      <c r="S393" s="40" t="n">
        <v>0</v>
      </c>
      <c r="T393" s="41" t="n">
        <f aca="false">S393/$P393</f>
        <v>0</v>
      </c>
      <c r="U393" s="40" t="n">
        <v>0</v>
      </c>
      <c r="V393" s="41" t="n">
        <f aca="false">U393/$P393</f>
        <v>0</v>
      </c>
      <c r="W393" s="40" t="n">
        <v>2500</v>
      </c>
      <c r="X393" s="42" t="n">
        <f aca="false">W393/$P393</f>
        <v>1</v>
      </c>
      <c r="Y393" s="40" t="n">
        <f aca="false">K393</f>
        <v>2500</v>
      </c>
      <c r="Z393" s="43" t="n">
        <f aca="false">Y393</f>
        <v>2500</v>
      </c>
    </row>
    <row r="394" customFormat="false" ht="13.9" hidden="false" customHeight="true" outlineLevel="0" collapsed="false">
      <c r="E394" s="44"/>
      <c r="F394" s="1" t="s">
        <v>242</v>
      </c>
      <c r="G394" s="46" t="n">
        <v>350</v>
      </c>
      <c r="H394" s="46" t="n">
        <v>0</v>
      </c>
      <c r="I394" s="46" t="n">
        <v>150</v>
      </c>
      <c r="J394" s="46" t="n">
        <v>150</v>
      </c>
      <c r="K394" s="46" t="n">
        <v>175</v>
      </c>
      <c r="L394" s="46"/>
      <c r="M394" s="46"/>
      <c r="N394" s="46"/>
      <c r="O394" s="46"/>
      <c r="P394" s="46" t="n">
        <f aca="false">K394+SUM(L394:O394)</f>
        <v>175</v>
      </c>
      <c r="Q394" s="46" t="n">
        <v>0</v>
      </c>
      <c r="R394" s="2" t="n">
        <f aca="false">Q394/$P394</f>
        <v>0</v>
      </c>
      <c r="S394" s="46" t="n">
        <v>0</v>
      </c>
      <c r="T394" s="2" t="n">
        <f aca="false">S394/$P394</f>
        <v>0</v>
      </c>
      <c r="U394" s="46" t="n">
        <v>0</v>
      </c>
      <c r="V394" s="2" t="n">
        <f aca="false">U394/$P394</f>
        <v>0</v>
      </c>
      <c r="W394" s="46" t="n">
        <v>175</v>
      </c>
      <c r="X394" s="47" t="n">
        <f aca="false">W394/$P394</f>
        <v>1</v>
      </c>
      <c r="Y394" s="46" t="n">
        <f aca="false">K394</f>
        <v>175</v>
      </c>
      <c r="Z394" s="48" t="n">
        <f aca="false">Y394</f>
        <v>175</v>
      </c>
    </row>
    <row r="395" customFormat="false" ht="13.9" hidden="false" customHeight="true" outlineLevel="0" collapsed="false">
      <c r="E395" s="44"/>
      <c r="F395" s="1" t="s">
        <v>243</v>
      </c>
      <c r="G395" s="46" t="n">
        <v>4510.23</v>
      </c>
      <c r="H395" s="49" t="n">
        <v>0</v>
      </c>
      <c r="I395" s="49" t="n">
        <v>3000</v>
      </c>
      <c r="J395" s="49" t="n">
        <v>3163.2</v>
      </c>
      <c r="K395" s="49" t="n">
        <v>5500</v>
      </c>
      <c r="L395" s="49"/>
      <c r="M395" s="49" t="n">
        <v>2000</v>
      </c>
      <c r="N395" s="49" t="n">
        <v>529</v>
      </c>
      <c r="O395" s="49"/>
      <c r="P395" s="49" t="n">
        <f aca="false">K395+SUM(L395:O395)</f>
        <v>8029</v>
      </c>
      <c r="Q395" s="49" t="n">
        <v>0</v>
      </c>
      <c r="R395" s="50" t="n">
        <f aca="false">Q395/$P395</f>
        <v>0</v>
      </c>
      <c r="S395" s="49" t="n">
        <v>10.8</v>
      </c>
      <c r="T395" s="50" t="n">
        <f aca="false">S395/$P395</f>
        <v>0.00134512392576909</v>
      </c>
      <c r="U395" s="49" t="n">
        <v>5051.6</v>
      </c>
      <c r="V395" s="50" t="n">
        <f aca="false">U395/$P395</f>
        <v>0.629169261427326</v>
      </c>
      <c r="W395" s="49" t="n">
        <v>5528.96</v>
      </c>
      <c r="X395" s="51" t="n">
        <f aca="false">W395/$P395</f>
        <v>0.68862373894632</v>
      </c>
      <c r="Y395" s="46" t="n">
        <f aca="false">K395</f>
        <v>5500</v>
      </c>
      <c r="Z395" s="48" t="n">
        <f aca="false">Y395</f>
        <v>5500</v>
      </c>
    </row>
    <row r="396" customFormat="false" ht="13.9" hidden="false" customHeight="true" outlineLevel="0" collapsed="false">
      <c r="E396" s="52"/>
      <c r="F396" s="86" t="s">
        <v>244</v>
      </c>
      <c r="G396" s="87" t="n">
        <v>3027.59</v>
      </c>
      <c r="H396" s="87" t="n">
        <v>0</v>
      </c>
      <c r="I396" s="87" t="n">
        <v>1000</v>
      </c>
      <c r="J396" s="87" t="n">
        <v>1177.1</v>
      </c>
      <c r="K396" s="87" t="n">
        <v>3000</v>
      </c>
      <c r="L396" s="87"/>
      <c r="M396" s="87" t="n">
        <v>-2000</v>
      </c>
      <c r="N396" s="87" t="n">
        <v>-529</v>
      </c>
      <c r="O396" s="87" t="n">
        <v>663</v>
      </c>
      <c r="P396" s="87" t="n">
        <f aca="false">K396+SUM(L396:O396)</f>
        <v>1134</v>
      </c>
      <c r="Q396" s="87" t="n">
        <v>0</v>
      </c>
      <c r="R396" s="88" t="n">
        <f aca="false">Q396/$P396</f>
        <v>0</v>
      </c>
      <c r="S396" s="87" t="n">
        <v>0</v>
      </c>
      <c r="T396" s="88" t="n">
        <f aca="false">S396/$P396</f>
        <v>0</v>
      </c>
      <c r="U396" s="87" t="n">
        <v>0</v>
      </c>
      <c r="V396" s="88" t="n">
        <f aca="false">U396/$P396</f>
        <v>0</v>
      </c>
      <c r="W396" s="87" t="n">
        <v>1134</v>
      </c>
      <c r="X396" s="89" t="n">
        <f aca="false">W396/$P396</f>
        <v>1</v>
      </c>
      <c r="Y396" s="87" t="n">
        <f aca="false">K396</f>
        <v>3000</v>
      </c>
      <c r="Z396" s="57" t="n">
        <f aca="false">Y396</f>
        <v>3000</v>
      </c>
    </row>
    <row r="398" customFormat="false" ht="13.9" hidden="false" customHeight="true" outlineLevel="0" collapsed="false">
      <c r="D398" s="60" t="s">
        <v>245</v>
      </c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1"/>
      <c r="S398" s="60"/>
      <c r="T398" s="61"/>
      <c r="U398" s="60"/>
      <c r="V398" s="61"/>
      <c r="W398" s="60"/>
      <c r="X398" s="61"/>
      <c r="Y398" s="60"/>
      <c r="Z398" s="60"/>
    </row>
    <row r="399" customFormat="false" ht="13.9" hidden="false" customHeight="true" outlineLevel="0" collapsed="false">
      <c r="D399" s="7" t="s">
        <v>33</v>
      </c>
      <c r="E399" s="7" t="s">
        <v>34</v>
      </c>
      <c r="F399" s="7" t="s">
        <v>35</v>
      </c>
      <c r="G399" s="7" t="s">
        <v>1</v>
      </c>
      <c r="H399" s="7" t="s">
        <v>2</v>
      </c>
      <c r="I399" s="7" t="s">
        <v>3</v>
      </c>
      <c r="J399" s="7" t="s">
        <v>4</v>
      </c>
      <c r="K399" s="7" t="s">
        <v>5</v>
      </c>
      <c r="L399" s="7" t="s">
        <v>6</v>
      </c>
      <c r="M399" s="7" t="s">
        <v>7</v>
      </c>
      <c r="N399" s="7" t="s">
        <v>8</v>
      </c>
      <c r="O399" s="7" t="s">
        <v>9</v>
      </c>
      <c r="P399" s="7" t="s">
        <v>10</v>
      </c>
      <c r="Q399" s="7" t="s">
        <v>11</v>
      </c>
      <c r="R399" s="8" t="s">
        <v>12</v>
      </c>
      <c r="S399" s="7" t="s">
        <v>13</v>
      </c>
      <c r="T399" s="8" t="s">
        <v>14</v>
      </c>
      <c r="U399" s="7" t="s">
        <v>15</v>
      </c>
      <c r="V399" s="8" t="s">
        <v>16</v>
      </c>
      <c r="W399" s="7" t="s">
        <v>17</v>
      </c>
      <c r="X399" s="8" t="s">
        <v>18</v>
      </c>
      <c r="Y399" s="7" t="s">
        <v>19</v>
      </c>
      <c r="Z399" s="7" t="s">
        <v>20</v>
      </c>
    </row>
    <row r="400" customFormat="false" ht="13.9" hidden="false" customHeight="true" outlineLevel="0" collapsed="false">
      <c r="A400" s="1" t="n">
        <v>6</v>
      </c>
      <c r="B400" s="1" t="n">
        <v>2</v>
      </c>
      <c r="C400" s="1" t="n">
        <v>3</v>
      </c>
      <c r="D400" s="38" t="s">
        <v>236</v>
      </c>
      <c r="E400" s="10" t="n">
        <v>620</v>
      </c>
      <c r="F400" s="10" t="s">
        <v>128</v>
      </c>
      <c r="G400" s="11" t="n">
        <v>188.24</v>
      </c>
      <c r="H400" s="11" t="n">
        <v>21.27</v>
      </c>
      <c r="I400" s="11" t="n">
        <v>17</v>
      </c>
      <c r="J400" s="11" t="n">
        <v>17.26</v>
      </c>
      <c r="K400" s="11" t="n">
        <v>17</v>
      </c>
      <c r="L400" s="11"/>
      <c r="M400" s="11"/>
      <c r="N400" s="11"/>
      <c r="O400" s="11"/>
      <c r="P400" s="11" t="n">
        <f aca="false">K400+SUM(L400:O400)</f>
        <v>17</v>
      </c>
      <c r="Q400" s="11" t="n">
        <v>4.44</v>
      </c>
      <c r="R400" s="12" t="n">
        <f aca="false">Q400/$P400</f>
        <v>0.261176470588235</v>
      </c>
      <c r="S400" s="11" t="n">
        <v>8.88</v>
      </c>
      <c r="T400" s="12" t="n">
        <f aca="false">S400/$P400</f>
        <v>0.522352941176471</v>
      </c>
      <c r="U400" s="11" t="n">
        <v>13.32</v>
      </c>
      <c r="V400" s="12" t="n">
        <f aca="false">U400/$P400</f>
        <v>0.783529411764706</v>
      </c>
      <c r="W400" s="11" t="n">
        <v>17.76</v>
      </c>
      <c r="X400" s="12" t="n">
        <f aca="false">W400/$P400</f>
        <v>1.04470588235294</v>
      </c>
      <c r="Y400" s="11" t="n">
        <f aca="false">K400</f>
        <v>17</v>
      </c>
      <c r="Z400" s="11" t="n">
        <f aca="false">Y400</f>
        <v>17</v>
      </c>
    </row>
    <row r="401" customFormat="false" ht="13.9" hidden="false" customHeight="true" outlineLevel="0" collapsed="false">
      <c r="A401" s="1" t="n">
        <v>6</v>
      </c>
      <c r="B401" s="1" t="n">
        <v>2</v>
      </c>
      <c r="C401" s="1" t="n">
        <v>3</v>
      </c>
      <c r="D401" s="38" t="s">
        <v>236</v>
      </c>
      <c r="E401" s="10" t="n">
        <v>630</v>
      </c>
      <c r="F401" s="10" t="s">
        <v>129</v>
      </c>
      <c r="G401" s="11" t="n">
        <v>3944.93</v>
      </c>
      <c r="H401" s="11" t="n">
        <v>2249.59</v>
      </c>
      <c r="I401" s="11" t="n">
        <v>2826</v>
      </c>
      <c r="J401" s="11" t="n">
        <v>2695.54</v>
      </c>
      <c r="K401" s="11" t="n">
        <v>2846</v>
      </c>
      <c r="L401" s="11"/>
      <c r="M401" s="11"/>
      <c r="N401" s="11"/>
      <c r="O401" s="11"/>
      <c r="P401" s="11" t="n">
        <f aca="false">K401+SUM(L401:O401)</f>
        <v>2846</v>
      </c>
      <c r="Q401" s="11" t="n">
        <v>815.07</v>
      </c>
      <c r="R401" s="12" t="n">
        <f aca="false">Q401/$P401</f>
        <v>0.286391426563598</v>
      </c>
      <c r="S401" s="11" t="n">
        <v>1370.61</v>
      </c>
      <c r="T401" s="12" t="n">
        <f aca="false">S401/$P401</f>
        <v>0.481591707659873</v>
      </c>
      <c r="U401" s="11" t="n">
        <v>2198.28</v>
      </c>
      <c r="V401" s="12" t="n">
        <f aca="false">U401/$P401</f>
        <v>0.772410400562193</v>
      </c>
      <c r="W401" s="11" t="n">
        <v>2820.21</v>
      </c>
      <c r="X401" s="12" t="n">
        <f aca="false">W401/$P401</f>
        <v>0.990938158819396</v>
      </c>
      <c r="Y401" s="11" t="n">
        <f aca="false">K401</f>
        <v>2846</v>
      </c>
      <c r="Z401" s="11" t="n">
        <f aca="false">Y401</f>
        <v>2846</v>
      </c>
    </row>
    <row r="402" customFormat="false" ht="13.9" hidden="false" customHeight="true" outlineLevel="0" collapsed="false">
      <c r="A402" s="1" t="n">
        <v>6</v>
      </c>
      <c r="B402" s="1" t="n">
        <v>2</v>
      </c>
      <c r="C402" s="1" t="n">
        <v>3</v>
      </c>
      <c r="D402" s="67" t="s">
        <v>21</v>
      </c>
      <c r="E402" s="13" t="n">
        <v>41</v>
      </c>
      <c r="F402" s="13" t="s">
        <v>23</v>
      </c>
      <c r="G402" s="14" t="n">
        <f aca="false">SUM(G400:G401)</f>
        <v>4133.17</v>
      </c>
      <c r="H402" s="14" t="n">
        <f aca="false">SUM(H400:H401)</f>
        <v>2270.86</v>
      </c>
      <c r="I402" s="14" t="n">
        <f aca="false">SUM(I400:I401)</f>
        <v>2843</v>
      </c>
      <c r="J402" s="14" t="n">
        <f aca="false">SUM(J400:J401)</f>
        <v>2712.8</v>
      </c>
      <c r="K402" s="14" t="n">
        <f aca="false">SUM(K400:K401)</f>
        <v>2863</v>
      </c>
      <c r="L402" s="14" t="n">
        <f aca="false">SUM(L400:L401)</f>
        <v>0</v>
      </c>
      <c r="M402" s="14" t="n">
        <f aca="false">SUM(M400:M401)</f>
        <v>0</v>
      </c>
      <c r="N402" s="14" t="n">
        <f aca="false">SUM(N400:N401)</f>
        <v>0</v>
      </c>
      <c r="O402" s="14" t="n">
        <f aca="false">SUM(O400:O401)</f>
        <v>0</v>
      </c>
      <c r="P402" s="14" t="n">
        <f aca="false">SUM(P400:P401)</f>
        <v>2863</v>
      </c>
      <c r="Q402" s="14" t="n">
        <f aca="false">SUM(Q400:Q401)</f>
        <v>819.51</v>
      </c>
      <c r="R402" s="15" t="n">
        <f aca="false">Q402/$P402</f>
        <v>0.286241704505763</v>
      </c>
      <c r="S402" s="14" t="n">
        <f aca="false">SUM(S400:S401)</f>
        <v>1379.49</v>
      </c>
      <c r="T402" s="15" t="n">
        <f aca="false">S402/$P402</f>
        <v>0.481833740831296</v>
      </c>
      <c r="U402" s="14" t="n">
        <f aca="false">SUM(U400:U401)</f>
        <v>2211.6</v>
      </c>
      <c r="V402" s="15" t="n">
        <f aca="false">U402/$P402</f>
        <v>0.772476423332169</v>
      </c>
      <c r="W402" s="14" t="n">
        <f aca="false">SUM(W400:W401)</f>
        <v>2837.97</v>
      </c>
      <c r="X402" s="15" t="n">
        <f aca="false">W402/$P402</f>
        <v>0.991257422284317</v>
      </c>
      <c r="Y402" s="14" t="n">
        <f aca="false">SUM(Y400:Y401)</f>
        <v>2863</v>
      </c>
      <c r="Z402" s="14" t="n">
        <f aca="false">SUM(Z400:Z401)</f>
        <v>2863</v>
      </c>
    </row>
    <row r="404" customFormat="false" ht="13.9" hidden="false" customHeight="true" outlineLevel="0" collapsed="false">
      <c r="D404" s="28" t="s">
        <v>246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9"/>
      <c r="S404" s="28"/>
      <c r="T404" s="29"/>
      <c r="U404" s="28"/>
      <c r="V404" s="29"/>
      <c r="W404" s="28"/>
      <c r="X404" s="29"/>
      <c r="Y404" s="28"/>
      <c r="Z404" s="28"/>
    </row>
    <row r="405" customFormat="false" ht="13.9" hidden="false" customHeight="true" outlineLevel="0" collapsed="false">
      <c r="D405" s="7"/>
      <c r="E405" s="7"/>
      <c r="F405" s="7"/>
      <c r="G405" s="7" t="s">
        <v>1</v>
      </c>
      <c r="H405" s="7" t="s">
        <v>2</v>
      </c>
      <c r="I405" s="7" t="s">
        <v>3</v>
      </c>
      <c r="J405" s="7" t="s">
        <v>4</v>
      </c>
      <c r="K405" s="7" t="s">
        <v>5</v>
      </c>
      <c r="L405" s="7" t="s">
        <v>6</v>
      </c>
      <c r="M405" s="7" t="s">
        <v>7</v>
      </c>
      <c r="N405" s="7" t="s">
        <v>8</v>
      </c>
      <c r="O405" s="7" t="s">
        <v>9</v>
      </c>
      <c r="P405" s="7" t="s">
        <v>10</v>
      </c>
      <c r="Q405" s="7" t="s">
        <v>11</v>
      </c>
      <c r="R405" s="8" t="s">
        <v>12</v>
      </c>
      <c r="S405" s="7" t="s">
        <v>13</v>
      </c>
      <c r="T405" s="8" t="s">
        <v>14</v>
      </c>
      <c r="U405" s="7" t="s">
        <v>15</v>
      </c>
      <c r="V405" s="8" t="s">
        <v>16</v>
      </c>
      <c r="W405" s="7" t="s">
        <v>17</v>
      </c>
      <c r="X405" s="8" t="s">
        <v>18</v>
      </c>
      <c r="Y405" s="7" t="s">
        <v>19</v>
      </c>
      <c r="Z405" s="7" t="s">
        <v>20</v>
      </c>
    </row>
    <row r="406" customFormat="false" ht="13.9" hidden="false" customHeight="true" outlineLevel="0" collapsed="false">
      <c r="A406" s="1" t="n">
        <v>6</v>
      </c>
      <c r="B406" s="1" t="n">
        <v>3</v>
      </c>
      <c r="D406" s="30" t="s">
        <v>21</v>
      </c>
      <c r="E406" s="10" t="n">
        <v>41</v>
      </c>
      <c r="F406" s="10" t="s">
        <v>23</v>
      </c>
      <c r="G406" s="11" t="n">
        <f aca="false">G413+G423</f>
        <v>11148.44</v>
      </c>
      <c r="H406" s="11" t="n">
        <f aca="false">H413+H423</f>
        <v>13384.27</v>
      </c>
      <c r="I406" s="11" t="n">
        <f aca="false">I413+I423</f>
        <v>14097</v>
      </c>
      <c r="J406" s="11" t="n">
        <f aca="false">J413+J423</f>
        <v>11446.02</v>
      </c>
      <c r="K406" s="11" t="n">
        <f aca="false">K413+K423</f>
        <v>10870</v>
      </c>
      <c r="L406" s="11" t="n">
        <f aca="false">L413+L423</f>
        <v>0</v>
      </c>
      <c r="M406" s="11" t="n">
        <f aca="false">M413+M423</f>
        <v>0</v>
      </c>
      <c r="N406" s="11" t="n">
        <f aca="false">N413+N423</f>
        <v>0</v>
      </c>
      <c r="O406" s="11" t="n">
        <f aca="false">O413+O423</f>
        <v>1500</v>
      </c>
      <c r="P406" s="11" t="n">
        <f aca="false">P413+P423</f>
        <v>12370</v>
      </c>
      <c r="Q406" s="11" t="n">
        <f aca="false">Q413+Q423</f>
        <v>4090.36</v>
      </c>
      <c r="R406" s="12" t="n">
        <f aca="false">Q406/$P406</f>
        <v>0.33066774454325</v>
      </c>
      <c r="S406" s="11" t="n">
        <f aca="false">S413+S423</f>
        <v>6688.42</v>
      </c>
      <c r="T406" s="12" t="n">
        <f aca="false">S406/$P406</f>
        <v>0.540696847210994</v>
      </c>
      <c r="U406" s="11" t="n">
        <f aca="false">U413+U423</f>
        <v>9150.42</v>
      </c>
      <c r="V406" s="12" t="n">
        <f aca="false">U406/$P406</f>
        <v>0.739726758286176</v>
      </c>
      <c r="W406" s="11" t="n">
        <f aca="false">W413+W423</f>
        <v>11940.66</v>
      </c>
      <c r="X406" s="12" t="n">
        <f aca="false">W406/$P406</f>
        <v>0.965291835084883</v>
      </c>
      <c r="Y406" s="11" t="n">
        <f aca="false">Y413+Y423</f>
        <v>10870</v>
      </c>
      <c r="Z406" s="11" t="n">
        <f aca="false">Z413+Z423</f>
        <v>10870</v>
      </c>
    </row>
    <row r="407" customFormat="false" ht="13.9" hidden="false" customHeight="true" outlineLevel="0" collapsed="false">
      <c r="A407" s="1" t="n">
        <v>6</v>
      </c>
      <c r="B407" s="1" t="n">
        <v>3</v>
      </c>
      <c r="D407" s="17"/>
      <c r="E407" s="18"/>
      <c r="F407" s="13" t="s">
        <v>122</v>
      </c>
      <c r="G407" s="14" t="n">
        <f aca="false">SUM(G406:G406)</f>
        <v>11148.44</v>
      </c>
      <c r="H407" s="14" t="n">
        <f aca="false">SUM(H406:H406)</f>
        <v>13384.27</v>
      </c>
      <c r="I407" s="14" t="n">
        <f aca="false">SUM(I406:I406)</f>
        <v>14097</v>
      </c>
      <c r="J407" s="14" t="n">
        <f aca="false">SUM(J406:J406)</f>
        <v>11446.02</v>
      </c>
      <c r="K407" s="14" t="n">
        <f aca="false">SUM(K406:K406)</f>
        <v>10870</v>
      </c>
      <c r="L407" s="14" t="n">
        <f aca="false">SUM(L406:L406)</f>
        <v>0</v>
      </c>
      <c r="M407" s="14" t="n">
        <f aca="false">SUM(M406:M406)</f>
        <v>0</v>
      </c>
      <c r="N407" s="14" t="n">
        <f aca="false">SUM(N406:N406)</f>
        <v>0</v>
      </c>
      <c r="O407" s="14" t="n">
        <f aca="false">SUM(O406:O406)</f>
        <v>1500</v>
      </c>
      <c r="P407" s="14" t="n">
        <f aca="false">SUM(P406:P406)</f>
        <v>12370</v>
      </c>
      <c r="Q407" s="14" t="n">
        <f aca="false">SUM(Q406:Q406)</f>
        <v>4090.36</v>
      </c>
      <c r="R407" s="15" t="n">
        <f aca="false">Q407/$P407</f>
        <v>0.33066774454325</v>
      </c>
      <c r="S407" s="14" t="n">
        <f aca="false">SUM(S406:S406)</f>
        <v>6688.42</v>
      </c>
      <c r="T407" s="15" t="n">
        <f aca="false">S407/$P407</f>
        <v>0.540696847210994</v>
      </c>
      <c r="U407" s="14" t="n">
        <f aca="false">SUM(U406:U406)</f>
        <v>9150.42</v>
      </c>
      <c r="V407" s="15" t="n">
        <f aca="false">U407/$P407</f>
        <v>0.739726758286176</v>
      </c>
      <c r="W407" s="14" t="n">
        <f aca="false">SUM(W406:W406)</f>
        <v>11940.66</v>
      </c>
      <c r="X407" s="15" t="n">
        <f aca="false">W407/$P407</f>
        <v>0.965291835084883</v>
      </c>
      <c r="Y407" s="14" t="n">
        <f aca="false">SUM(Y406:Y406)</f>
        <v>10870</v>
      </c>
      <c r="Z407" s="14" t="n">
        <f aca="false">SUM(Z406:Z406)</f>
        <v>10870</v>
      </c>
    </row>
    <row r="409" customFormat="false" ht="13.9" hidden="false" customHeight="true" outlineLevel="0" collapsed="false">
      <c r="D409" s="60" t="s">
        <v>247</v>
      </c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1"/>
      <c r="S409" s="60"/>
      <c r="T409" s="61"/>
      <c r="U409" s="60"/>
      <c r="V409" s="61"/>
      <c r="W409" s="60"/>
      <c r="X409" s="61"/>
      <c r="Y409" s="60"/>
      <c r="Z409" s="60"/>
    </row>
    <row r="410" customFormat="false" ht="13.9" hidden="false" customHeight="true" outlineLevel="0" collapsed="false">
      <c r="D410" s="7" t="s">
        <v>33</v>
      </c>
      <c r="E410" s="7" t="s">
        <v>34</v>
      </c>
      <c r="F410" s="7" t="s">
        <v>35</v>
      </c>
      <c r="G410" s="7" t="s">
        <v>1</v>
      </c>
      <c r="H410" s="7" t="s">
        <v>2</v>
      </c>
      <c r="I410" s="7" t="s">
        <v>3</v>
      </c>
      <c r="J410" s="7" t="s">
        <v>4</v>
      </c>
      <c r="K410" s="7" t="s">
        <v>5</v>
      </c>
      <c r="L410" s="7" t="s">
        <v>6</v>
      </c>
      <c r="M410" s="7" t="s">
        <v>7</v>
      </c>
      <c r="N410" s="7" t="s">
        <v>8</v>
      </c>
      <c r="O410" s="7" t="s">
        <v>9</v>
      </c>
      <c r="P410" s="7" t="s">
        <v>10</v>
      </c>
      <c r="Q410" s="7" t="s">
        <v>11</v>
      </c>
      <c r="R410" s="8" t="s">
        <v>12</v>
      </c>
      <c r="S410" s="7" t="s">
        <v>13</v>
      </c>
      <c r="T410" s="8" t="s">
        <v>14</v>
      </c>
      <c r="U410" s="7" t="s">
        <v>15</v>
      </c>
      <c r="V410" s="8" t="s">
        <v>16</v>
      </c>
      <c r="W410" s="7" t="s">
        <v>17</v>
      </c>
      <c r="X410" s="8" t="s">
        <v>18</v>
      </c>
      <c r="Y410" s="7" t="s">
        <v>19</v>
      </c>
      <c r="Z410" s="7" t="s">
        <v>20</v>
      </c>
    </row>
    <row r="411" customFormat="false" ht="13.9" hidden="true" customHeight="true" outlineLevel="0" collapsed="false">
      <c r="A411" s="1" t="n">
        <v>6</v>
      </c>
      <c r="B411" s="1" t="n">
        <v>3</v>
      </c>
      <c r="C411" s="1" t="n">
        <v>1</v>
      </c>
      <c r="D411" s="74" t="s">
        <v>248</v>
      </c>
      <c r="E411" s="10" t="n">
        <v>620</v>
      </c>
      <c r="F411" s="10" t="s">
        <v>128</v>
      </c>
      <c r="G411" s="11" t="n">
        <v>565.57</v>
      </c>
      <c r="H411" s="33" t="n">
        <v>0</v>
      </c>
      <c r="I411" s="33" t="n">
        <v>0</v>
      </c>
      <c r="J411" s="33" t="n">
        <v>0</v>
      </c>
      <c r="K411" s="33" t="n">
        <v>0</v>
      </c>
      <c r="L411" s="33"/>
      <c r="M411" s="33"/>
      <c r="N411" s="33"/>
      <c r="O411" s="33"/>
      <c r="P411" s="33" t="n">
        <f aca="false">K411+SUM(L411:O411)</f>
        <v>0</v>
      </c>
      <c r="Q411" s="33" t="n">
        <v>0</v>
      </c>
      <c r="R411" s="34" t="e">
        <f aca="false">Q411/$P411</f>
        <v>#DIV/0!</v>
      </c>
      <c r="S411" s="33" t="n">
        <v>0</v>
      </c>
      <c r="T411" s="34" t="e">
        <f aca="false">S411/$P411</f>
        <v>#DIV/0!</v>
      </c>
      <c r="U411" s="33" t="n">
        <v>0</v>
      </c>
      <c r="V411" s="34" t="e">
        <f aca="false">U411/$P411</f>
        <v>#DIV/0!</v>
      </c>
      <c r="W411" s="33" t="n">
        <v>0</v>
      </c>
      <c r="X411" s="34" t="e">
        <f aca="false">W411/$P411</f>
        <v>#DIV/0!</v>
      </c>
      <c r="Y411" s="11" t="n">
        <f aca="false">K411</f>
        <v>0</v>
      </c>
      <c r="Z411" s="11" t="n">
        <f aca="false">Y411</f>
        <v>0</v>
      </c>
    </row>
    <row r="412" customFormat="false" ht="13.9" hidden="false" customHeight="true" outlineLevel="0" collapsed="false">
      <c r="A412" s="1" t="n">
        <v>6</v>
      </c>
      <c r="B412" s="1" t="n">
        <v>3</v>
      </c>
      <c r="C412" s="1" t="n">
        <v>1</v>
      </c>
      <c r="D412" s="74" t="s">
        <v>248</v>
      </c>
      <c r="E412" s="10" t="n">
        <v>630</v>
      </c>
      <c r="F412" s="10" t="s">
        <v>129</v>
      </c>
      <c r="G412" s="11" t="n">
        <v>5770.54</v>
      </c>
      <c r="H412" s="11" t="n">
        <v>8984.27</v>
      </c>
      <c r="I412" s="11" t="n">
        <v>8597</v>
      </c>
      <c r="J412" s="11" t="n">
        <v>6446.02</v>
      </c>
      <c r="K412" s="11" t="n">
        <v>6670</v>
      </c>
      <c r="L412" s="11"/>
      <c r="M412" s="11"/>
      <c r="N412" s="11"/>
      <c r="O412" s="11" t="n">
        <v>1500</v>
      </c>
      <c r="P412" s="11" t="n">
        <f aca="false">K412+SUM(L412:O412)</f>
        <v>8170</v>
      </c>
      <c r="Q412" s="11" t="n">
        <v>1890.36</v>
      </c>
      <c r="R412" s="12" t="n">
        <f aca="false">Q412/$P412</f>
        <v>0.231378212974296</v>
      </c>
      <c r="S412" s="11" t="n">
        <v>4488.42</v>
      </c>
      <c r="T412" s="12" t="n">
        <f aca="false">S412/$P412</f>
        <v>0.549378212974296</v>
      </c>
      <c r="U412" s="11" t="n">
        <v>4950.42</v>
      </c>
      <c r="V412" s="12" t="n">
        <f aca="false">U412/$P412</f>
        <v>0.605926560587515</v>
      </c>
      <c r="W412" s="11" t="n">
        <v>7740.66</v>
      </c>
      <c r="X412" s="12" t="n">
        <f aca="false">W412/$P412</f>
        <v>0.947449204406365</v>
      </c>
      <c r="Y412" s="11" t="n">
        <f aca="false">K412</f>
        <v>6670</v>
      </c>
      <c r="Z412" s="11" t="n">
        <f aca="false">Y412</f>
        <v>6670</v>
      </c>
    </row>
    <row r="413" customFormat="false" ht="13.9" hidden="false" customHeight="true" outlineLevel="0" collapsed="false">
      <c r="A413" s="1" t="n">
        <v>6</v>
      </c>
      <c r="B413" s="1" t="n">
        <v>3</v>
      </c>
      <c r="C413" s="1" t="n">
        <v>1</v>
      </c>
      <c r="D413" s="67" t="s">
        <v>21</v>
      </c>
      <c r="E413" s="13" t="n">
        <v>41</v>
      </c>
      <c r="F413" s="13" t="s">
        <v>23</v>
      </c>
      <c r="G413" s="14" t="n">
        <f aca="false">SUM(G411:G412)</f>
        <v>6336.11</v>
      </c>
      <c r="H413" s="14" t="n">
        <f aca="false">SUM(H411:H412)</f>
        <v>8984.27</v>
      </c>
      <c r="I413" s="14" t="n">
        <f aca="false">SUM(I411:I412)</f>
        <v>8597</v>
      </c>
      <c r="J413" s="14" t="n">
        <f aca="false">SUM(J411:J412)</f>
        <v>6446.02</v>
      </c>
      <c r="K413" s="14" t="n">
        <f aca="false">SUM(K411:K412)</f>
        <v>6670</v>
      </c>
      <c r="L413" s="14" t="n">
        <f aca="false">SUM(L411:L412)</f>
        <v>0</v>
      </c>
      <c r="M413" s="14" t="n">
        <f aca="false">SUM(M411:M412)</f>
        <v>0</v>
      </c>
      <c r="N413" s="14" t="n">
        <f aca="false">SUM(N411:N412)</f>
        <v>0</v>
      </c>
      <c r="O413" s="14" t="n">
        <f aca="false">SUM(O411:O412)</f>
        <v>1500</v>
      </c>
      <c r="P413" s="14" t="n">
        <f aca="false">SUM(P411:P412)</f>
        <v>8170</v>
      </c>
      <c r="Q413" s="14" t="n">
        <f aca="false">SUM(Q411:Q412)</f>
        <v>1890.36</v>
      </c>
      <c r="R413" s="15" t="n">
        <f aca="false">Q413/$P413</f>
        <v>0.231378212974296</v>
      </c>
      <c r="S413" s="14" t="n">
        <f aca="false">SUM(S411:S412)</f>
        <v>4488.42</v>
      </c>
      <c r="T413" s="15" t="n">
        <f aca="false">S413/$P413</f>
        <v>0.549378212974296</v>
      </c>
      <c r="U413" s="14" t="n">
        <f aca="false">SUM(U411:U412)</f>
        <v>4950.42</v>
      </c>
      <c r="V413" s="15" t="n">
        <f aca="false">U413/$P413</f>
        <v>0.605926560587515</v>
      </c>
      <c r="W413" s="14" t="n">
        <f aca="false">SUM(W411:W412)</f>
        <v>7740.66</v>
      </c>
      <c r="X413" s="15" t="n">
        <f aca="false">W413/$P413</f>
        <v>0.947449204406365</v>
      </c>
      <c r="Y413" s="14" t="n">
        <f aca="false">SUM(Y411:Y412)</f>
        <v>6670</v>
      </c>
      <c r="Z413" s="14" t="n">
        <f aca="false">SUM(Z411:Z412)</f>
        <v>6670</v>
      </c>
    </row>
    <row r="415" customFormat="false" ht="13.9" hidden="false" customHeight="true" outlineLevel="0" collapsed="false">
      <c r="E415" s="39" t="s">
        <v>57</v>
      </c>
      <c r="F415" s="17" t="s">
        <v>147</v>
      </c>
      <c r="G415" s="40" t="n">
        <v>1000</v>
      </c>
      <c r="H415" s="40" t="n">
        <v>1298</v>
      </c>
      <c r="I415" s="40" t="n">
        <v>1232</v>
      </c>
      <c r="J415" s="40" t="n">
        <v>1232</v>
      </c>
      <c r="K415" s="40" t="n">
        <v>1666</v>
      </c>
      <c r="L415" s="40"/>
      <c r="M415" s="40"/>
      <c r="N415" s="40" t="n">
        <v>28</v>
      </c>
      <c r="O415" s="40"/>
      <c r="P415" s="40" t="n">
        <f aca="false">K415+SUM(L415:O415)</f>
        <v>1694</v>
      </c>
      <c r="Q415" s="40" t="n">
        <v>308</v>
      </c>
      <c r="R415" s="41" t="n">
        <f aca="false">Q415/$P415</f>
        <v>0.181818181818182</v>
      </c>
      <c r="S415" s="40" t="n">
        <v>770</v>
      </c>
      <c r="T415" s="41" t="n">
        <f aca="false">S415/$P415</f>
        <v>0.454545454545455</v>
      </c>
      <c r="U415" s="40" t="n">
        <v>1232</v>
      </c>
      <c r="V415" s="41" t="n">
        <f aca="false">U415/$P415</f>
        <v>0.727272727272727</v>
      </c>
      <c r="W415" s="40" t="n">
        <v>1694</v>
      </c>
      <c r="X415" s="42" t="n">
        <f aca="false">W415/$P415</f>
        <v>1</v>
      </c>
      <c r="Y415" s="40" t="n">
        <f aca="false">K415</f>
        <v>1666</v>
      </c>
      <c r="Z415" s="43" t="n">
        <f aca="false">Y415</f>
        <v>1666</v>
      </c>
    </row>
    <row r="416" customFormat="false" ht="13.9" hidden="false" customHeight="true" outlineLevel="0" collapsed="false">
      <c r="E416" s="44"/>
      <c r="F416" s="83" t="s">
        <v>249</v>
      </c>
      <c r="G416" s="70" t="n">
        <v>750</v>
      </c>
      <c r="H416" s="70" t="n">
        <v>3000</v>
      </c>
      <c r="I416" s="70" t="n">
        <v>3000</v>
      </c>
      <c r="J416" s="70" t="n">
        <v>3000</v>
      </c>
      <c r="K416" s="70" t="n">
        <v>3000</v>
      </c>
      <c r="L416" s="70"/>
      <c r="M416" s="70"/>
      <c r="N416" s="70"/>
      <c r="O416" s="70" t="n">
        <v>1500</v>
      </c>
      <c r="P416" s="70" t="n">
        <f aca="false">K416+SUM(L416:O416)</f>
        <v>4500</v>
      </c>
      <c r="Q416" s="70" t="n">
        <v>1500</v>
      </c>
      <c r="R416" s="71" t="n">
        <f aca="false">Q416/$P416</f>
        <v>0.333333333333333</v>
      </c>
      <c r="S416" s="70" t="n">
        <v>2250</v>
      </c>
      <c r="T416" s="71" t="n">
        <f aca="false">S416/$P416</f>
        <v>0.5</v>
      </c>
      <c r="U416" s="70" t="n">
        <v>2250</v>
      </c>
      <c r="V416" s="71" t="n">
        <f aca="false">U416/$P416</f>
        <v>0.5</v>
      </c>
      <c r="W416" s="70" t="n">
        <v>4500</v>
      </c>
      <c r="X416" s="47" t="n">
        <f aca="false">W416/$P416</f>
        <v>1</v>
      </c>
      <c r="Y416" s="70" t="n">
        <f aca="false">K416</f>
        <v>3000</v>
      </c>
      <c r="Z416" s="48" t="n">
        <f aca="false">Y416</f>
        <v>3000</v>
      </c>
    </row>
    <row r="417" customFormat="false" ht="13.9" hidden="false" customHeight="true" outlineLevel="0" collapsed="false">
      <c r="E417" s="52"/>
      <c r="F417" s="86" t="s">
        <v>250</v>
      </c>
      <c r="G417" s="87" t="n">
        <v>120.68</v>
      </c>
      <c r="H417" s="54" t="n">
        <v>2949</v>
      </c>
      <c r="I417" s="54" t="n">
        <v>3000</v>
      </c>
      <c r="J417" s="54" t="n">
        <v>1643.26</v>
      </c>
      <c r="K417" s="54" t="n">
        <v>1600</v>
      </c>
      <c r="L417" s="54"/>
      <c r="M417" s="54"/>
      <c r="N417" s="54"/>
      <c r="O417" s="54" t="n">
        <v>-77</v>
      </c>
      <c r="P417" s="54" t="n">
        <f aca="false">K417+SUM(L417:O417)</f>
        <v>1523</v>
      </c>
      <c r="Q417" s="54" t="n">
        <v>0</v>
      </c>
      <c r="R417" s="55" t="n">
        <f aca="false">Q417/$P417</f>
        <v>0</v>
      </c>
      <c r="S417" s="54" t="n">
        <v>1386.06</v>
      </c>
      <c r="T417" s="55" t="n">
        <f aca="false">S417/$P417</f>
        <v>0.910085357846356</v>
      </c>
      <c r="U417" s="54" t="n">
        <v>1386.06</v>
      </c>
      <c r="V417" s="55" t="n">
        <f aca="false">U417/$P417</f>
        <v>0.910085357846356</v>
      </c>
      <c r="W417" s="54" t="n">
        <v>1386.06</v>
      </c>
      <c r="X417" s="56" t="n">
        <f aca="false">W417/$P417</f>
        <v>0.910085357846356</v>
      </c>
      <c r="Y417" s="54" t="n">
        <f aca="false">K417</f>
        <v>1600</v>
      </c>
      <c r="Z417" s="57" t="n">
        <f aca="false">Y417</f>
        <v>1600</v>
      </c>
    </row>
    <row r="418" customFormat="false" ht="13.9" hidden="true" customHeight="true" outlineLevel="0" collapsed="false">
      <c r="E418" s="52"/>
      <c r="F418" s="86" t="s">
        <v>251</v>
      </c>
      <c r="G418" s="54" t="n">
        <v>3459.07</v>
      </c>
      <c r="H418" s="54" t="n">
        <v>0</v>
      </c>
      <c r="I418" s="54" t="n">
        <v>0</v>
      </c>
      <c r="J418" s="54" t="n">
        <v>0</v>
      </c>
      <c r="K418" s="54" t="n">
        <v>0</v>
      </c>
      <c r="L418" s="54"/>
      <c r="M418" s="54"/>
      <c r="N418" s="54"/>
      <c r="O418" s="54"/>
      <c r="P418" s="54" t="n">
        <f aca="false">K418+SUM(L418:O418)</f>
        <v>0</v>
      </c>
      <c r="Q418" s="54"/>
      <c r="R418" s="55" t="e">
        <f aca="false">Q418/$P418</f>
        <v>#DIV/0!</v>
      </c>
      <c r="S418" s="54"/>
      <c r="T418" s="55" t="e">
        <f aca="false">S418/$P418</f>
        <v>#DIV/0!</v>
      </c>
      <c r="U418" s="54"/>
      <c r="V418" s="55" t="e">
        <f aca="false">U418/$P418</f>
        <v>#DIV/0!</v>
      </c>
      <c r="W418" s="54"/>
      <c r="X418" s="56" t="e">
        <f aca="false">W418/$P418</f>
        <v>#DIV/0!</v>
      </c>
      <c r="Y418" s="108" t="n">
        <f aca="false">K418</f>
        <v>0</v>
      </c>
      <c r="Z418" s="111" t="n">
        <f aca="false">Y418</f>
        <v>0</v>
      </c>
    </row>
    <row r="420" customFormat="false" ht="13.9" hidden="false" customHeight="true" outlineLevel="0" collapsed="false">
      <c r="D420" s="60" t="s">
        <v>252</v>
      </c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1"/>
      <c r="S420" s="60"/>
      <c r="T420" s="61"/>
      <c r="U420" s="60"/>
      <c r="V420" s="61"/>
      <c r="W420" s="60"/>
      <c r="X420" s="61"/>
      <c r="Y420" s="60"/>
      <c r="Z420" s="60"/>
    </row>
    <row r="421" customFormat="false" ht="13.9" hidden="false" customHeight="true" outlineLevel="0" collapsed="false">
      <c r="D421" s="7" t="s">
        <v>33</v>
      </c>
      <c r="E421" s="7" t="s">
        <v>34</v>
      </c>
      <c r="F421" s="7" t="s">
        <v>35</v>
      </c>
      <c r="G421" s="7" t="s">
        <v>1</v>
      </c>
      <c r="H421" s="7" t="s">
        <v>2</v>
      </c>
      <c r="I421" s="7" t="s">
        <v>3</v>
      </c>
      <c r="J421" s="7" t="s">
        <v>4</v>
      </c>
      <c r="K421" s="7" t="s">
        <v>5</v>
      </c>
      <c r="L421" s="7" t="s">
        <v>6</v>
      </c>
      <c r="M421" s="7" t="s">
        <v>7</v>
      </c>
      <c r="N421" s="7" t="s">
        <v>8</v>
      </c>
      <c r="O421" s="7" t="s">
        <v>9</v>
      </c>
      <c r="P421" s="7" t="s">
        <v>10</v>
      </c>
      <c r="Q421" s="7" t="s">
        <v>11</v>
      </c>
      <c r="R421" s="8" t="s">
        <v>12</v>
      </c>
      <c r="S421" s="7" t="s">
        <v>13</v>
      </c>
      <c r="T421" s="8" t="s">
        <v>14</v>
      </c>
      <c r="U421" s="7" t="s">
        <v>15</v>
      </c>
      <c r="V421" s="8" t="s">
        <v>16</v>
      </c>
      <c r="W421" s="7" t="s">
        <v>17</v>
      </c>
      <c r="X421" s="8" t="s">
        <v>18</v>
      </c>
      <c r="Y421" s="7" t="s">
        <v>19</v>
      </c>
      <c r="Z421" s="7" t="s">
        <v>20</v>
      </c>
    </row>
    <row r="422" customFormat="false" ht="13.9" hidden="false" customHeight="true" outlineLevel="0" collapsed="false">
      <c r="A422" s="1" t="n">
        <v>6</v>
      </c>
      <c r="B422" s="1" t="n">
        <v>3</v>
      </c>
      <c r="C422" s="1" t="n">
        <v>2</v>
      </c>
      <c r="D422" s="74" t="s">
        <v>248</v>
      </c>
      <c r="E422" s="10" t="n">
        <v>640</v>
      </c>
      <c r="F422" s="10" t="s">
        <v>130</v>
      </c>
      <c r="G422" s="11" t="n">
        <v>4812.33</v>
      </c>
      <c r="H422" s="11" t="n">
        <v>4400</v>
      </c>
      <c r="I422" s="11" t="n">
        <f aca="false">SUM(I425:I430)</f>
        <v>5500</v>
      </c>
      <c r="J422" s="11" t="n">
        <v>5000</v>
      </c>
      <c r="K422" s="11" t="n">
        <f aca="false">SUM(K425:K430)</f>
        <v>4200</v>
      </c>
      <c r="L422" s="11"/>
      <c r="M422" s="11"/>
      <c r="N422" s="11"/>
      <c r="O422" s="11"/>
      <c r="P422" s="11" t="n">
        <f aca="false">K422+SUM(L422:O422)</f>
        <v>4200</v>
      </c>
      <c r="Q422" s="11" t="n">
        <v>2200</v>
      </c>
      <c r="R422" s="12" t="n">
        <f aca="false">Q422/$P422</f>
        <v>0.523809523809524</v>
      </c>
      <c r="S422" s="11" t="n">
        <v>2200</v>
      </c>
      <c r="T422" s="12" t="n">
        <f aca="false">S422/$P422</f>
        <v>0.523809523809524</v>
      </c>
      <c r="U422" s="11" t="n">
        <v>4200</v>
      </c>
      <c r="V422" s="12" t="n">
        <f aca="false">U422/$P422</f>
        <v>1</v>
      </c>
      <c r="W422" s="11" t="n">
        <v>4200</v>
      </c>
      <c r="X422" s="12" t="n">
        <f aca="false">W422/$P422</f>
        <v>1</v>
      </c>
      <c r="Y422" s="11" t="n">
        <f aca="false">SUM(Y425:Y430)</f>
        <v>4200</v>
      </c>
      <c r="Z422" s="11" t="n">
        <f aca="false">SUM(Z425:Z430)</f>
        <v>4200</v>
      </c>
    </row>
    <row r="423" customFormat="false" ht="13.9" hidden="false" customHeight="true" outlineLevel="0" collapsed="false">
      <c r="A423" s="1" t="n">
        <v>6</v>
      </c>
      <c r="B423" s="1" t="n">
        <v>3</v>
      </c>
      <c r="C423" s="1" t="n">
        <v>2</v>
      </c>
      <c r="D423" s="67" t="s">
        <v>21</v>
      </c>
      <c r="E423" s="13" t="n">
        <v>41</v>
      </c>
      <c r="F423" s="13" t="s">
        <v>23</v>
      </c>
      <c r="G423" s="14" t="n">
        <f aca="false">SUM(G422:G422)</f>
        <v>4812.33</v>
      </c>
      <c r="H423" s="14" t="n">
        <f aca="false">SUM(H422:H422)</f>
        <v>4400</v>
      </c>
      <c r="I423" s="14" t="n">
        <f aca="false">SUM(I422:I422)</f>
        <v>5500</v>
      </c>
      <c r="J423" s="14" t="n">
        <f aca="false">SUM(J422:J422)</f>
        <v>5000</v>
      </c>
      <c r="K423" s="14" t="n">
        <f aca="false">SUM(K422:K422)</f>
        <v>4200</v>
      </c>
      <c r="L423" s="14" t="n">
        <f aca="false">SUM(L422:L422)</f>
        <v>0</v>
      </c>
      <c r="M423" s="14" t="n">
        <f aca="false">SUM(M422:M422)</f>
        <v>0</v>
      </c>
      <c r="N423" s="14" t="n">
        <f aca="false">SUM(N422:N422)</f>
        <v>0</v>
      </c>
      <c r="O423" s="14" t="n">
        <f aca="false">SUM(O422:O422)</f>
        <v>0</v>
      </c>
      <c r="P423" s="14" t="n">
        <f aca="false">SUM(P422:P422)</f>
        <v>4200</v>
      </c>
      <c r="Q423" s="14" t="n">
        <f aca="false">SUM(Q422:Q422)</f>
        <v>2200</v>
      </c>
      <c r="R423" s="15" t="n">
        <f aca="false">Q423/$P423</f>
        <v>0.523809523809524</v>
      </c>
      <c r="S423" s="14" t="n">
        <f aca="false">SUM(S422:S422)</f>
        <v>2200</v>
      </c>
      <c r="T423" s="15" t="n">
        <f aca="false">S423/$P423</f>
        <v>0.523809523809524</v>
      </c>
      <c r="U423" s="14" t="n">
        <f aca="false">SUM(U422:U422)</f>
        <v>4200</v>
      </c>
      <c r="V423" s="15" t="n">
        <f aca="false">U423/$P423</f>
        <v>1</v>
      </c>
      <c r="W423" s="14" t="n">
        <f aca="false">SUM(W422:W422)</f>
        <v>4200</v>
      </c>
      <c r="X423" s="15" t="n">
        <f aca="false">W423/$P423</f>
        <v>1</v>
      </c>
      <c r="Y423" s="14" t="n">
        <f aca="false">SUM(Y422:Y422)</f>
        <v>4200</v>
      </c>
      <c r="Z423" s="14" t="n">
        <f aca="false">SUM(Z422:Z422)</f>
        <v>4200</v>
      </c>
    </row>
    <row r="425" customFormat="false" ht="13.9" hidden="false" customHeight="true" outlineLevel="0" collapsed="false">
      <c r="E425" s="39" t="s">
        <v>57</v>
      </c>
      <c r="F425" s="17" t="s">
        <v>253</v>
      </c>
      <c r="G425" s="40" t="n">
        <v>1100</v>
      </c>
      <c r="H425" s="40" t="n">
        <v>1000</v>
      </c>
      <c r="I425" s="40" t="n">
        <v>1000</v>
      </c>
      <c r="J425" s="40" t="n">
        <v>1000</v>
      </c>
      <c r="K425" s="40" t="n">
        <v>1100</v>
      </c>
      <c r="L425" s="40"/>
      <c r="M425" s="40"/>
      <c r="N425" s="40"/>
      <c r="O425" s="40"/>
      <c r="P425" s="40" t="n">
        <f aca="false">K425+SUM(L425:O425)</f>
        <v>1100</v>
      </c>
      <c r="Q425" s="40" t="n">
        <v>1100</v>
      </c>
      <c r="R425" s="41" t="n">
        <f aca="false">Q425/$P425</f>
        <v>1</v>
      </c>
      <c r="S425" s="40" t="n">
        <v>1100</v>
      </c>
      <c r="T425" s="41" t="n">
        <f aca="false">S425/$P425</f>
        <v>1</v>
      </c>
      <c r="U425" s="40" t="n">
        <v>1100</v>
      </c>
      <c r="V425" s="41" t="n">
        <f aca="false">U425/$P425</f>
        <v>1</v>
      </c>
      <c r="W425" s="40" t="n">
        <v>1100</v>
      </c>
      <c r="X425" s="42" t="n">
        <f aca="false">W425/$P425</f>
        <v>1</v>
      </c>
      <c r="Y425" s="40" t="n">
        <f aca="false">K425</f>
        <v>1100</v>
      </c>
      <c r="Z425" s="43" t="n">
        <f aca="false">Y425</f>
        <v>1100</v>
      </c>
    </row>
    <row r="426" customFormat="false" ht="13.9" hidden="true" customHeight="true" outlineLevel="0" collapsed="false">
      <c r="E426" s="44"/>
      <c r="F426" s="1" t="s">
        <v>254</v>
      </c>
      <c r="G426" s="46" t="n">
        <v>1412.33</v>
      </c>
      <c r="H426" s="46" t="n">
        <v>600</v>
      </c>
      <c r="I426" s="49" t="n">
        <v>500</v>
      </c>
      <c r="J426" s="46" t="n">
        <v>0</v>
      </c>
      <c r="K426" s="49" t="n">
        <v>0</v>
      </c>
      <c r="L426" s="46"/>
      <c r="M426" s="46"/>
      <c r="N426" s="46"/>
      <c r="O426" s="46"/>
      <c r="P426" s="46" t="n">
        <f aca="false">K426+SUM(L426:O426)</f>
        <v>0</v>
      </c>
      <c r="Q426" s="46"/>
      <c r="R426" s="2" t="e">
        <f aca="false">Q426/$P426</f>
        <v>#DIV/0!</v>
      </c>
      <c r="S426" s="46"/>
      <c r="T426" s="2" t="e">
        <f aca="false">S426/$P426</f>
        <v>#DIV/0!</v>
      </c>
      <c r="U426" s="46"/>
      <c r="V426" s="2" t="e">
        <f aca="false">U426/$P426</f>
        <v>#DIV/0!</v>
      </c>
      <c r="W426" s="46"/>
      <c r="X426" s="47" t="e">
        <f aca="false">W426/$P426</f>
        <v>#DIV/0!</v>
      </c>
      <c r="Y426" s="46" t="n">
        <f aca="false">K426</f>
        <v>0</v>
      </c>
      <c r="Z426" s="48" t="n">
        <f aca="false">Y426</f>
        <v>0</v>
      </c>
    </row>
    <row r="427" customFormat="false" ht="13.9" hidden="false" customHeight="true" outlineLevel="0" collapsed="false">
      <c r="E427" s="44"/>
      <c r="F427" s="45" t="s">
        <v>255</v>
      </c>
      <c r="G427" s="46" t="n">
        <v>1300</v>
      </c>
      <c r="H427" s="46" t="n">
        <v>0</v>
      </c>
      <c r="I427" s="46" t="n">
        <v>1300</v>
      </c>
      <c r="J427" s="46" t="n">
        <v>1300</v>
      </c>
      <c r="K427" s="46" t="n">
        <v>2000</v>
      </c>
      <c r="L427" s="46"/>
      <c r="M427" s="46"/>
      <c r="N427" s="46"/>
      <c r="O427" s="46"/>
      <c r="P427" s="46" t="n">
        <f aca="false">K427+SUM(L427:O427)</f>
        <v>2000</v>
      </c>
      <c r="Q427" s="46" t="n">
        <v>0</v>
      </c>
      <c r="R427" s="2" t="n">
        <f aca="false">Q427/$P427</f>
        <v>0</v>
      </c>
      <c r="S427" s="46" t="n">
        <v>0</v>
      </c>
      <c r="T427" s="2" t="n">
        <f aca="false">S427/$P427</f>
        <v>0</v>
      </c>
      <c r="U427" s="46" t="n">
        <v>2000</v>
      </c>
      <c r="V427" s="2" t="n">
        <f aca="false">U427/$P427</f>
        <v>1</v>
      </c>
      <c r="W427" s="46" t="n">
        <v>2000</v>
      </c>
      <c r="X427" s="47" t="n">
        <f aca="false">W427/$P427</f>
        <v>1</v>
      </c>
      <c r="Y427" s="46" t="n">
        <f aca="false">K427</f>
        <v>2000</v>
      </c>
      <c r="Z427" s="48" t="n">
        <f aca="false">Y427</f>
        <v>2000</v>
      </c>
    </row>
    <row r="428" customFormat="false" ht="13.9" hidden="false" customHeight="true" outlineLevel="0" collapsed="false">
      <c r="E428" s="52"/>
      <c r="F428" s="53" t="s">
        <v>256</v>
      </c>
      <c r="G428" s="54" t="n">
        <v>1000</v>
      </c>
      <c r="H428" s="54" t="n">
        <v>1000</v>
      </c>
      <c r="I428" s="54" t="n">
        <v>1000</v>
      </c>
      <c r="J428" s="54" t="n">
        <v>1000</v>
      </c>
      <c r="K428" s="54" t="n">
        <v>1100</v>
      </c>
      <c r="L428" s="54"/>
      <c r="M428" s="54"/>
      <c r="N428" s="54"/>
      <c r="O428" s="54"/>
      <c r="P428" s="54" t="n">
        <f aca="false">K428+SUM(L428:O428)</f>
        <v>1100</v>
      </c>
      <c r="Q428" s="54" t="n">
        <v>1100</v>
      </c>
      <c r="R428" s="55" t="n">
        <f aca="false">Q428/$P428</f>
        <v>1</v>
      </c>
      <c r="S428" s="54" t="n">
        <v>1100</v>
      </c>
      <c r="T428" s="55" t="n">
        <f aca="false">S428/$P428</f>
        <v>1</v>
      </c>
      <c r="U428" s="54" t="n">
        <v>1100</v>
      </c>
      <c r="V428" s="55" t="n">
        <f aca="false">U428/$P428</f>
        <v>1</v>
      </c>
      <c r="W428" s="54" t="n">
        <v>1100</v>
      </c>
      <c r="X428" s="56" t="n">
        <f aca="false">W428/$P428</f>
        <v>1</v>
      </c>
      <c r="Y428" s="54" t="n">
        <f aca="false">K428</f>
        <v>1100</v>
      </c>
      <c r="Z428" s="57" t="n">
        <f aca="false">Y428</f>
        <v>1100</v>
      </c>
    </row>
    <row r="429" customFormat="false" ht="13.9" hidden="true" customHeight="true" outlineLevel="0" collapsed="false">
      <c r="E429" s="44"/>
      <c r="F429" s="69" t="s">
        <v>257</v>
      </c>
      <c r="G429" s="70"/>
      <c r="H429" s="70" t="n">
        <v>300</v>
      </c>
      <c r="I429" s="84" t="n">
        <v>200</v>
      </c>
      <c r="J429" s="70" t="n">
        <v>200</v>
      </c>
      <c r="K429" s="84" t="n">
        <v>0</v>
      </c>
      <c r="L429" s="70"/>
      <c r="M429" s="70"/>
      <c r="N429" s="70"/>
      <c r="O429" s="70"/>
      <c r="P429" s="70" t="n">
        <f aca="false">K429+SUM(L429:O429)</f>
        <v>0</v>
      </c>
      <c r="Q429" s="70"/>
      <c r="R429" s="71" t="e">
        <f aca="false">Q429/$P429</f>
        <v>#DIV/0!</v>
      </c>
      <c r="S429" s="70"/>
      <c r="T429" s="71" t="e">
        <f aca="false">S429/$P429</f>
        <v>#DIV/0!</v>
      </c>
      <c r="U429" s="70"/>
      <c r="V429" s="71" t="e">
        <f aca="false">U429/$P429</f>
        <v>#DIV/0!</v>
      </c>
      <c r="W429" s="70"/>
      <c r="X429" s="47" t="e">
        <f aca="false">W429/$P429</f>
        <v>#DIV/0!</v>
      </c>
      <c r="Y429" s="70" t="n">
        <f aca="false">K429</f>
        <v>0</v>
      </c>
      <c r="Z429" s="48" t="n">
        <f aca="false">Y429</f>
        <v>0</v>
      </c>
    </row>
    <row r="430" customFormat="false" ht="13.9" hidden="true" customHeight="true" outlineLevel="0" collapsed="false">
      <c r="E430" s="52"/>
      <c r="F430" s="53" t="s">
        <v>258</v>
      </c>
      <c r="G430" s="54"/>
      <c r="H430" s="54" t="n">
        <v>1500</v>
      </c>
      <c r="I430" s="87" t="n">
        <v>1500</v>
      </c>
      <c r="J430" s="54" t="n">
        <v>1500</v>
      </c>
      <c r="K430" s="87" t="n">
        <v>0</v>
      </c>
      <c r="L430" s="54"/>
      <c r="M430" s="54"/>
      <c r="N430" s="54"/>
      <c r="O430" s="54"/>
      <c r="P430" s="54" t="n">
        <f aca="false">K430+SUM(L430:O430)</f>
        <v>0</v>
      </c>
      <c r="Q430" s="54"/>
      <c r="R430" s="55" t="e">
        <f aca="false">Q430/$P430</f>
        <v>#DIV/0!</v>
      </c>
      <c r="S430" s="54"/>
      <c r="T430" s="55" t="e">
        <f aca="false">S430/$P430</f>
        <v>#DIV/0!</v>
      </c>
      <c r="U430" s="54"/>
      <c r="V430" s="55" t="e">
        <f aca="false">U430/$P430</f>
        <v>#DIV/0!</v>
      </c>
      <c r="W430" s="54"/>
      <c r="X430" s="56" t="e">
        <f aca="false">W430/$P430</f>
        <v>#DIV/0!</v>
      </c>
      <c r="Y430" s="54" t="n">
        <v>0</v>
      </c>
      <c r="Z430" s="57" t="n">
        <f aca="false">Y430</f>
        <v>0</v>
      </c>
    </row>
    <row r="432" customFormat="false" ht="13.9" hidden="false" customHeight="true" outlineLevel="0" collapsed="false">
      <c r="D432" s="19" t="s">
        <v>259</v>
      </c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20"/>
      <c r="S432" s="19"/>
      <c r="T432" s="20"/>
      <c r="U432" s="19"/>
      <c r="V432" s="20"/>
      <c r="W432" s="19"/>
      <c r="X432" s="20"/>
      <c r="Y432" s="19"/>
      <c r="Z432" s="19"/>
    </row>
    <row r="433" customFormat="false" ht="13.9" hidden="false" customHeight="true" outlineLevel="0" collapsed="false">
      <c r="D433" s="6"/>
      <c r="E433" s="6"/>
      <c r="F433" s="6"/>
      <c r="G433" s="7" t="s">
        <v>1</v>
      </c>
      <c r="H433" s="7" t="s">
        <v>2</v>
      </c>
      <c r="I433" s="7" t="s">
        <v>3</v>
      </c>
      <c r="J433" s="7" t="s">
        <v>4</v>
      </c>
      <c r="K433" s="7" t="s">
        <v>5</v>
      </c>
      <c r="L433" s="7" t="s">
        <v>6</v>
      </c>
      <c r="M433" s="7" t="s">
        <v>7</v>
      </c>
      <c r="N433" s="7" t="s">
        <v>8</v>
      </c>
      <c r="O433" s="7" t="s">
        <v>9</v>
      </c>
      <c r="P433" s="7" t="s">
        <v>10</v>
      </c>
      <c r="Q433" s="7" t="s">
        <v>11</v>
      </c>
      <c r="R433" s="8" t="s">
        <v>12</v>
      </c>
      <c r="S433" s="7" t="s">
        <v>13</v>
      </c>
      <c r="T433" s="8" t="s">
        <v>14</v>
      </c>
      <c r="U433" s="7" t="s">
        <v>15</v>
      </c>
      <c r="V433" s="8" t="s">
        <v>16</v>
      </c>
      <c r="W433" s="7" t="s">
        <v>17</v>
      </c>
      <c r="X433" s="8" t="s">
        <v>18</v>
      </c>
      <c r="Y433" s="7" t="s">
        <v>19</v>
      </c>
      <c r="Z433" s="7" t="s">
        <v>20</v>
      </c>
    </row>
    <row r="434" customFormat="false" ht="13.9" hidden="false" customHeight="true" outlineLevel="0" collapsed="false">
      <c r="A434" s="1" t="n">
        <v>7</v>
      </c>
      <c r="D434" s="21" t="s">
        <v>21</v>
      </c>
      <c r="E434" s="22" t="n">
        <v>111</v>
      </c>
      <c r="F434" s="22" t="s">
        <v>47</v>
      </c>
      <c r="G434" s="23" t="n">
        <f aca="false">G441+G481</f>
        <v>43015.88</v>
      </c>
      <c r="H434" s="23" t="n">
        <f aca="false">H441+H481</f>
        <v>62673.71</v>
      </c>
      <c r="I434" s="23" t="n">
        <f aca="false">I441+I481</f>
        <v>70665</v>
      </c>
      <c r="J434" s="23" t="n">
        <f aca="false">J441+J481</f>
        <v>73256.4</v>
      </c>
      <c r="K434" s="23" t="n">
        <f aca="false">K441+K481</f>
        <v>57284</v>
      </c>
      <c r="L434" s="23" t="n">
        <f aca="false">L441+L481</f>
        <v>30899</v>
      </c>
      <c r="M434" s="23" t="n">
        <f aca="false">M441+M481</f>
        <v>5982</v>
      </c>
      <c r="N434" s="23" t="n">
        <f aca="false">N441+N481</f>
        <v>10440</v>
      </c>
      <c r="O434" s="23" t="n">
        <f aca="false">O441+O481</f>
        <v>6839</v>
      </c>
      <c r="P434" s="23" t="n">
        <f aca="false">P441+P481</f>
        <v>111444</v>
      </c>
      <c r="Q434" s="23" t="n">
        <f aca="false">Q441+Q481</f>
        <v>44992.17</v>
      </c>
      <c r="R434" s="24" t="n">
        <f aca="false">Q434/$P434</f>
        <v>0.403719984925164</v>
      </c>
      <c r="S434" s="23" t="n">
        <f aca="false">S441+S481</f>
        <v>60146.09</v>
      </c>
      <c r="T434" s="24" t="n">
        <f aca="false">S434/$P434</f>
        <v>0.539697875166003</v>
      </c>
      <c r="U434" s="23" t="n">
        <f aca="false">U441+U481</f>
        <v>91005.88</v>
      </c>
      <c r="V434" s="24" t="n">
        <f aca="false">U434/$P434</f>
        <v>0.816606367323499</v>
      </c>
      <c r="W434" s="23" t="n">
        <f aca="false">W441+W481</f>
        <v>115462.17</v>
      </c>
      <c r="X434" s="24" t="n">
        <f aca="false">W434/$P434</f>
        <v>1.03605550769893</v>
      </c>
      <c r="Y434" s="23" t="n">
        <f aca="false">Y441+Y481</f>
        <v>58787</v>
      </c>
      <c r="Z434" s="23" t="n">
        <f aca="false">Z441+Z481</f>
        <v>60336</v>
      </c>
    </row>
    <row r="435" customFormat="false" ht="13.9" hidden="false" customHeight="true" outlineLevel="0" collapsed="false">
      <c r="A435" s="1" t="n">
        <v>7</v>
      </c>
      <c r="D435" s="21"/>
      <c r="E435" s="22" t="n">
        <v>41</v>
      </c>
      <c r="F435" s="22" t="s">
        <v>23</v>
      </c>
      <c r="G435" s="23" t="n">
        <f aca="false">G442+G485</f>
        <v>86076.21</v>
      </c>
      <c r="H435" s="23" t="n">
        <f aca="false">H442+H485</f>
        <v>92914.83</v>
      </c>
      <c r="I435" s="23" t="n">
        <f aca="false">I442+I485</f>
        <v>104447</v>
      </c>
      <c r="J435" s="23" t="n">
        <f aca="false">J442+J485</f>
        <v>110547.23</v>
      </c>
      <c r="K435" s="23" t="n">
        <f aca="false">K442+K485</f>
        <v>99477</v>
      </c>
      <c r="L435" s="23" t="n">
        <f aca="false">L442+L485</f>
        <v>0</v>
      </c>
      <c r="M435" s="23" t="n">
        <f aca="false">M442+M485</f>
        <v>6287</v>
      </c>
      <c r="N435" s="23" t="n">
        <f aca="false">N442+N485</f>
        <v>4422</v>
      </c>
      <c r="O435" s="23" t="n">
        <f aca="false">O442+O485</f>
        <v>-209</v>
      </c>
      <c r="P435" s="23" t="n">
        <f aca="false">P442+P485</f>
        <v>109977</v>
      </c>
      <c r="Q435" s="23" t="n">
        <f aca="false">Q442+Q485</f>
        <v>19737.81</v>
      </c>
      <c r="R435" s="24" t="n">
        <f aca="false">Q435/$P435</f>
        <v>0.179472162361221</v>
      </c>
      <c r="S435" s="23" t="n">
        <f aca="false">S442+S485</f>
        <v>43570.37</v>
      </c>
      <c r="T435" s="24" t="n">
        <f aca="false">S435/$P435</f>
        <v>0.396177109759313</v>
      </c>
      <c r="U435" s="23" t="n">
        <f aca="false">U442+U485</f>
        <v>71867.43</v>
      </c>
      <c r="V435" s="24" t="n">
        <f aca="false">U435/$P435</f>
        <v>0.653476908808205</v>
      </c>
      <c r="W435" s="23" t="n">
        <f aca="false">W442+W485</f>
        <v>99582.88</v>
      </c>
      <c r="X435" s="24" t="n">
        <f aca="false">W435/$P435</f>
        <v>0.905488238449858</v>
      </c>
      <c r="Y435" s="23" t="n">
        <f aca="false">Y442+Y485</f>
        <v>98444</v>
      </c>
      <c r="Z435" s="23" t="n">
        <f aca="false">Z442+Z485</f>
        <v>99335</v>
      </c>
    </row>
    <row r="436" customFormat="false" ht="13.9" hidden="false" customHeight="true" outlineLevel="0" collapsed="false">
      <c r="A436" s="1" t="n">
        <v>7</v>
      </c>
      <c r="D436" s="21"/>
      <c r="E436" s="22" t="n">
        <v>72</v>
      </c>
      <c r="F436" s="22" t="s">
        <v>25</v>
      </c>
      <c r="G436" s="23" t="n">
        <f aca="false">G443</f>
        <v>1801.98</v>
      </c>
      <c r="H436" s="23" t="n">
        <f aca="false">H443</f>
        <v>958.75</v>
      </c>
      <c r="I436" s="23" t="n">
        <f aca="false">I443</f>
        <v>959</v>
      </c>
      <c r="J436" s="23" t="n">
        <f aca="false">J443</f>
        <v>1079.65</v>
      </c>
      <c r="K436" s="23" t="n">
        <f aca="false">K443</f>
        <v>1080</v>
      </c>
      <c r="L436" s="23" t="n">
        <f aca="false">L443</f>
        <v>0</v>
      </c>
      <c r="M436" s="23" t="n">
        <f aca="false">M443</f>
        <v>0</v>
      </c>
      <c r="N436" s="23" t="n">
        <f aca="false">N443</f>
        <v>0</v>
      </c>
      <c r="O436" s="23" t="n">
        <f aca="false">O443</f>
        <v>141</v>
      </c>
      <c r="P436" s="23" t="n">
        <f aca="false">P443</f>
        <v>1221</v>
      </c>
      <c r="Q436" s="23" t="n">
        <f aca="false">Q443</f>
        <v>0</v>
      </c>
      <c r="R436" s="24" t="n">
        <f aca="false">Q436/$P436</f>
        <v>0</v>
      </c>
      <c r="S436" s="23" t="n">
        <f aca="false">S443</f>
        <v>0</v>
      </c>
      <c r="T436" s="24" t="n">
        <f aca="false">S436/$P436</f>
        <v>0</v>
      </c>
      <c r="U436" s="23" t="n">
        <f aca="false">U443</f>
        <v>0</v>
      </c>
      <c r="V436" s="24" t="n">
        <f aca="false">U436/$P436</f>
        <v>0</v>
      </c>
      <c r="W436" s="23" t="n">
        <f aca="false">W443</f>
        <v>1221.09</v>
      </c>
      <c r="X436" s="24" t="n">
        <f aca="false">W436/$P436</f>
        <v>1.00007371007371</v>
      </c>
      <c r="Y436" s="23" t="n">
        <f aca="false">Y443</f>
        <v>1080</v>
      </c>
      <c r="Z436" s="23" t="n">
        <f aca="false">Z443</f>
        <v>1080</v>
      </c>
    </row>
    <row r="437" customFormat="false" ht="13.9" hidden="false" customHeight="true" outlineLevel="0" collapsed="false">
      <c r="A437" s="1" t="n">
        <v>7</v>
      </c>
      <c r="D437" s="17"/>
      <c r="E437" s="18"/>
      <c r="F437" s="25" t="s">
        <v>122</v>
      </c>
      <c r="G437" s="26" t="n">
        <f aca="false">SUM(G434:G436)</f>
        <v>130894.07</v>
      </c>
      <c r="H437" s="26" t="n">
        <f aca="false">SUM(H434:H436)</f>
        <v>156547.29</v>
      </c>
      <c r="I437" s="26" t="n">
        <f aca="false">SUM(I434:I436)</f>
        <v>176071</v>
      </c>
      <c r="J437" s="26" t="n">
        <f aca="false">SUM(J434:J436)</f>
        <v>184883.28</v>
      </c>
      <c r="K437" s="26" t="n">
        <f aca="false">SUM(K434:K436)</f>
        <v>157841</v>
      </c>
      <c r="L437" s="26" t="n">
        <f aca="false">SUM(L434:L436)</f>
        <v>30899</v>
      </c>
      <c r="M437" s="26" t="n">
        <f aca="false">SUM(M434:M436)</f>
        <v>12269</v>
      </c>
      <c r="N437" s="26" t="n">
        <f aca="false">SUM(N434:N436)</f>
        <v>14862</v>
      </c>
      <c r="O437" s="26" t="n">
        <f aca="false">SUM(O434:O436)</f>
        <v>6771</v>
      </c>
      <c r="P437" s="26" t="n">
        <f aca="false">SUM(P434:P436)</f>
        <v>222642</v>
      </c>
      <c r="Q437" s="26" t="n">
        <f aca="false">SUM(Q434:Q436)</f>
        <v>64729.98</v>
      </c>
      <c r="R437" s="27" t="n">
        <f aca="false">Q437/$P437</f>
        <v>0.29073571024335</v>
      </c>
      <c r="S437" s="26" t="n">
        <f aca="false">SUM(S434:S436)</f>
        <v>103716.46</v>
      </c>
      <c r="T437" s="27" t="n">
        <f aca="false">S437/$P437</f>
        <v>0.465844090513021</v>
      </c>
      <c r="U437" s="26" t="n">
        <f aca="false">SUM(U434:U436)</f>
        <v>162873.31</v>
      </c>
      <c r="V437" s="27" t="n">
        <f aca="false">U437/$P437</f>
        <v>0.731548000826439</v>
      </c>
      <c r="W437" s="26" t="n">
        <f aca="false">SUM(W434:W436)</f>
        <v>216266.14</v>
      </c>
      <c r="X437" s="27" t="n">
        <f aca="false">W437/$P437</f>
        <v>0.971362725810943</v>
      </c>
      <c r="Y437" s="26" t="n">
        <f aca="false">SUM(Y434:Y436)</f>
        <v>158311</v>
      </c>
      <c r="Z437" s="26" t="n">
        <f aca="false">SUM(Z434:Z436)</f>
        <v>160751</v>
      </c>
    </row>
    <row r="439" customFormat="false" ht="13.9" hidden="false" customHeight="true" outlineLevel="0" collapsed="false">
      <c r="D439" s="28" t="s">
        <v>260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9"/>
      <c r="S439" s="28"/>
      <c r="T439" s="29"/>
      <c r="U439" s="28"/>
      <c r="V439" s="29"/>
      <c r="W439" s="28"/>
      <c r="X439" s="29"/>
      <c r="Y439" s="28"/>
      <c r="Z439" s="28"/>
    </row>
    <row r="440" customFormat="false" ht="13.9" hidden="false" customHeight="true" outlineLevel="0" collapsed="false">
      <c r="D440" s="105"/>
      <c r="E440" s="105"/>
      <c r="F440" s="105"/>
      <c r="G440" s="7" t="s">
        <v>1</v>
      </c>
      <c r="H440" s="7" t="s">
        <v>2</v>
      </c>
      <c r="I440" s="7" t="s">
        <v>3</v>
      </c>
      <c r="J440" s="7" t="s">
        <v>4</v>
      </c>
      <c r="K440" s="7" t="s">
        <v>5</v>
      </c>
      <c r="L440" s="7" t="s">
        <v>6</v>
      </c>
      <c r="M440" s="7" t="s">
        <v>7</v>
      </c>
      <c r="N440" s="7" t="s">
        <v>8</v>
      </c>
      <c r="O440" s="7" t="s">
        <v>9</v>
      </c>
      <c r="P440" s="7" t="s">
        <v>10</v>
      </c>
      <c r="Q440" s="7" t="s">
        <v>11</v>
      </c>
      <c r="R440" s="8" t="s">
        <v>12</v>
      </c>
      <c r="S440" s="7" t="s">
        <v>13</v>
      </c>
      <c r="T440" s="8" t="s">
        <v>14</v>
      </c>
      <c r="U440" s="7" t="s">
        <v>15</v>
      </c>
      <c r="V440" s="8" t="s">
        <v>16</v>
      </c>
      <c r="W440" s="7" t="s">
        <v>17</v>
      </c>
      <c r="X440" s="8" t="s">
        <v>18</v>
      </c>
      <c r="Y440" s="7" t="s">
        <v>19</v>
      </c>
      <c r="Z440" s="7" t="s">
        <v>20</v>
      </c>
    </row>
    <row r="441" customFormat="false" ht="13.9" hidden="false" customHeight="true" outlineLevel="0" collapsed="false">
      <c r="A441" s="1" t="n">
        <v>7</v>
      </c>
      <c r="B441" s="1" t="n">
        <v>1</v>
      </c>
      <c r="D441" s="30" t="s">
        <v>21</v>
      </c>
      <c r="E441" s="10" t="n">
        <v>111</v>
      </c>
      <c r="F441" s="10" t="s">
        <v>47</v>
      </c>
      <c r="G441" s="11" t="n">
        <f aca="false">G451</f>
        <v>35712</v>
      </c>
      <c r="H441" s="11" t="n">
        <f aca="false">H451</f>
        <v>44092</v>
      </c>
      <c r="I441" s="11" t="n">
        <f aca="false">I451</f>
        <v>43848</v>
      </c>
      <c r="J441" s="11" t="n">
        <f aca="false">J451</f>
        <v>43848</v>
      </c>
      <c r="K441" s="11" t="n">
        <f aca="false">K451</f>
        <v>50112</v>
      </c>
      <c r="L441" s="11" t="n">
        <f aca="false">L451</f>
        <v>0</v>
      </c>
      <c r="M441" s="11" t="n">
        <f aca="false">M451</f>
        <v>0</v>
      </c>
      <c r="N441" s="11" t="n">
        <f aca="false">N451</f>
        <v>0</v>
      </c>
      <c r="O441" s="11" t="n">
        <f aca="false">O451</f>
        <v>0</v>
      </c>
      <c r="P441" s="11" t="n">
        <f aca="false">P451</f>
        <v>50112</v>
      </c>
      <c r="Q441" s="11" t="n">
        <f aca="false">Q451</f>
        <v>12356.39</v>
      </c>
      <c r="R441" s="12" t="n">
        <f aca="false">Q441/$P441</f>
        <v>0.246575470945083</v>
      </c>
      <c r="S441" s="11" t="n">
        <f aca="false">S451</f>
        <v>24850.07</v>
      </c>
      <c r="T441" s="12" t="n">
        <f aca="false">S441/$P441</f>
        <v>0.4958906050447</v>
      </c>
      <c r="U441" s="11" t="n">
        <f aca="false">U451</f>
        <v>37481.04</v>
      </c>
      <c r="V441" s="12" t="n">
        <f aca="false">U441/$P441</f>
        <v>0.747945402298851</v>
      </c>
      <c r="W441" s="11" t="n">
        <f aca="false">W451</f>
        <v>53712</v>
      </c>
      <c r="X441" s="12" t="n">
        <f aca="false">W441/$P441</f>
        <v>1.07183908045977</v>
      </c>
      <c r="Y441" s="11" t="n">
        <f aca="false">Y451</f>
        <v>51615</v>
      </c>
      <c r="Z441" s="11" t="n">
        <f aca="false">Z451</f>
        <v>53164</v>
      </c>
    </row>
    <row r="442" customFormat="false" ht="13.9" hidden="false" customHeight="true" outlineLevel="0" collapsed="false">
      <c r="A442" s="1" t="n">
        <v>7</v>
      </c>
      <c r="B442" s="1" t="n">
        <v>1</v>
      </c>
      <c r="D442" s="30"/>
      <c r="E442" s="10" t="n">
        <v>41</v>
      </c>
      <c r="F442" s="10" t="s">
        <v>23</v>
      </c>
      <c r="G442" s="11" t="n">
        <f aca="false">G456+G471</f>
        <v>80817.33</v>
      </c>
      <c r="H442" s="11" t="n">
        <f aca="false">H456+H471</f>
        <v>91714.83</v>
      </c>
      <c r="I442" s="11" t="n">
        <f aca="false">I456+I471</f>
        <v>100647</v>
      </c>
      <c r="J442" s="11" t="n">
        <f aca="false">J456+J471</f>
        <v>106147.23</v>
      </c>
      <c r="K442" s="11" t="n">
        <f aca="false">K456+K471</f>
        <v>95077</v>
      </c>
      <c r="L442" s="11" t="n">
        <f aca="false">L456+L471</f>
        <v>0</v>
      </c>
      <c r="M442" s="11" t="n">
        <f aca="false">M456+M471</f>
        <v>6287</v>
      </c>
      <c r="N442" s="11" t="n">
        <f aca="false">N456+N471</f>
        <v>4422</v>
      </c>
      <c r="O442" s="11" t="n">
        <f aca="false">O456+O471</f>
        <v>-209</v>
      </c>
      <c r="P442" s="11" t="n">
        <f aca="false">P456+P471</f>
        <v>105577</v>
      </c>
      <c r="Q442" s="11" t="n">
        <f aca="false">Q456+Q471</f>
        <v>18237.81</v>
      </c>
      <c r="R442" s="12" t="n">
        <f aca="false">Q442/$P442</f>
        <v>0.172744158292052</v>
      </c>
      <c r="S442" s="11" t="n">
        <f aca="false">S456+S471</f>
        <v>41470.37</v>
      </c>
      <c r="T442" s="12" t="n">
        <f aca="false">S442/$P442</f>
        <v>0.392797389582958</v>
      </c>
      <c r="U442" s="11" t="n">
        <f aca="false">U456+U471</f>
        <v>68867.43</v>
      </c>
      <c r="V442" s="12" t="n">
        <f aca="false">U442/$P442</f>
        <v>0.652295765176127</v>
      </c>
      <c r="W442" s="11" t="n">
        <f aca="false">W456+W471</f>
        <v>95982.88</v>
      </c>
      <c r="X442" s="12" t="n">
        <f aca="false">W442/$P442</f>
        <v>0.90912679845042</v>
      </c>
      <c r="Y442" s="11" t="n">
        <f aca="false">Y456+Y471</f>
        <v>94044</v>
      </c>
      <c r="Z442" s="11" t="n">
        <f aca="false">Z456+Z471</f>
        <v>94935</v>
      </c>
    </row>
    <row r="443" customFormat="false" ht="13.9" hidden="false" customHeight="true" outlineLevel="0" collapsed="false">
      <c r="A443" s="1" t="n">
        <v>7</v>
      </c>
      <c r="B443" s="1" t="n">
        <v>1</v>
      </c>
      <c r="D443" s="30"/>
      <c r="E443" s="10" t="n">
        <v>72</v>
      </c>
      <c r="F443" s="10" t="s">
        <v>25</v>
      </c>
      <c r="G443" s="11" t="n">
        <f aca="false">G459</f>
        <v>1801.98</v>
      </c>
      <c r="H443" s="11" t="n">
        <f aca="false">H459</f>
        <v>958.75</v>
      </c>
      <c r="I443" s="11" t="n">
        <f aca="false">I459</f>
        <v>959</v>
      </c>
      <c r="J443" s="11" t="n">
        <f aca="false">J459</f>
        <v>1079.65</v>
      </c>
      <c r="K443" s="11" t="n">
        <f aca="false">K459</f>
        <v>1080</v>
      </c>
      <c r="L443" s="11" t="n">
        <f aca="false">L459</f>
        <v>0</v>
      </c>
      <c r="M443" s="11" t="n">
        <f aca="false">M459</f>
        <v>0</v>
      </c>
      <c r="N443" s="11" t="n">
        <f aca="false">N459</f>
        <v>0</v>
      </c>
      <c r="O443" s="11" t="n">
        <f aca="false">O459</f>
        <v>141</v>
      </c>
      <c r="P443" s="11" t="n">
        <f aca="false">P459</f>
        <v>1221</v>
      </c>
      <c r="Q443" s="11" t="n">
        <f aca="false">Q459</f>
        <v>0</v>
      </c>
      <c r="R443" s="12" t="n">
        <f aca="false">Q443/$P443</f>
        <v>0</v>
      </c>
      <c r="S443" s="11" t="n">
        <f aca="false">S459</f>
        <v>0</v>
      </c>
      <c r="T443" s="12" t="n">
        <f aca="false">S443/$P443</f>
        <v>0</v>
      </c>
      <c r="U443" s="11" t="n">
        <f aca="false">U459</f>
        <v>0</v>
      </c>
      <c r="V443" s="12" t="n">
        <f aca="false">U443/$P443</f>
        <v>0</v>
      </c>
      <c r="W443" s="11" t="n">
        <f aca="false">W459</f>
        <v>1221.09</v>
      </c>
      <c r="X443" s="12" t="n">
        <f aca="false">W443/$P443</f>
        <v>1.00007371007371</v>
      </c>
      <c r="Y443" s="11" t="n">
        <f aca="false">Y459</f>
        <v>1080</v>
      </c>
      <c r="Z443" s="11" t="n">
        <f aca="false">Z459</f>
        <v>1080</v>
      </c>
    </row>
    <row r="444" customFormat="false" ht="13.9" hidden="false" customHeight="true" outlineLevel="0" collapsed="false">
      <c r="A444" s="1" t="n">
        <v>7</v>
      </c>
      <c r="B444" s="1" t="n">
        <v>1</v>
      </c>
      <c r="D444" s="17"/>
      <c r="E444" s="18"/>
      <c r="F444" s="13" t="s">
        <v>122</v>
      </c>
      <c r="G444" s="14" t="n">
        <f aca="false">SUM(G441:G443)</f>
        <v>118331.31</v>
      </c>
      <c r="H444" s="14" t="n">
        <f aca="false">SUM(H441:H443)</f>
        <v>136765.58</v>
      </c>
      <c r="I444" s="14" t="n">
        <f aca="false">SUM(I441:I443)</f>
        <v>145454</v>
      </c>
      <c r="J444" s="14" t="n">
        <f aca="false">SUM(J441:J443)</f>
        <v>151074.88</v>
      </c>
      <c r="K444" s="14" t="n">
        <f aca="false">SUM(K441:K443)</f>
        <v>146269</v>
      </c>
      <c r="L444" s="14" t="n">
        <f aca="false">SUM(L441:L443)</f>
        <v>0</v>
      </c>
      <c r="M444" s="14" t="n">
        <f aca="false">SUM(M441:M443)</f>
        <v>6287</v>
      </c>
      <c r="N444" s="14" t="n">
        <f aca="false">SUM(N441:N443)</f>
        <v>4422</v>
      </c>
      <c r="O444" s="14" t="n">
        <f aca="false">SUM(O441:O443)</f>
        <v>-68</v>
      </c>
      <c r="P444" s="14" t="n">
        <f aca="false">SUM(P441:P443)</f>
        <v>156910</v>
      </c>
      <c r="Q444" s="14" t="n">
        <f aca="false">SUM(Q441:Q443)</f>
        <v>30594.2</v>
      </c>
      <c r="R444" s="15" t="n">
        <f aca="false">Q444/$P444</f>
        <v>0.194979287489644</v>
      </c>
      <c r="S444" s="14" t="n">
        <f aca="false">SUM(S441:S443)</f>
        <v>66320.44</v>
      </c>
      <c r="T444" s="15" t="n">
        <f aca="false">S444/$P444</f>
        <v>0.422665477025046</v>
      </c>
      <c r="U444" s="14" t="n">
        <f aca="false">SUM(U441:U443)</f>
        <v>106348.47</v>
      </c>
      <c r="V444" s="15" t="n">
        <f aca="false">U444/$P444</f>
        <v>0.677767318845198</v>
      </c>
      <c r="W444" s="14" t="n">
        <f aca="false">SUM(W441:W443)</f>
        <v>150915.97</v>
      </c>
      <c r="X444" s="15" t="n">
        <f aca="false">W444/$P444</f>
        <v>0.961799566630553</v>
      </c>
      <c r="Y444" s="14" t="n">
        <f aca="false">SUM(Y441:Y443)</f>
        <v>146739</v>
      </c>
      <c r="Z444" s="14" t="n">
        <f aca="false">SUM(Z441:Z443)</f>
        <v>149179</v>
      </c>
    </row>
    <row r="446" customFormat="false" ht="13.9" hidden="false" customHeight="true" outlineLevel="0" collapsed="false">
      <c r="D446" s="60" t="s">
        <v>261</v>
      </c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1"/>
      <c r="S446" s="60"/>
      <c r="T446" s="61"/>
      <c r="U446" s="60"/>
      <c r="V446" s="61"/>
      <c r="W446" s="60"/>
      <c r="X446" s="61"/>
      <c r="Y446" s="60"/>
      <c r="Z446" s="60"/>
    </row>
    <row r="447" customFormat="false" ht="13.9" hidden="false" customHeight="true" outlineLevel="0" collapsed="false">
      <c r="D447" s="7" t="s">
        <v>33</v>
      </c>
      <c r="E447" s="7" t="s">
        <v>34</v>
      </c>
      <c r="F447" s="7" t="s">
        <v>35</v>
      </c>
      <c r="G447" s="7" t="s">
        <v>1</v>
      </c>
      <c r="H447" s="7" t="s">
        <v>2</v>
      </c>
      <c r="I447" s="7" t="s">
        <v>3</v>
      </c>
      <c r="J447" s="7" t="s">
        <v>4</v>
      </c>
      <c r="K447" s="7" t="s">
        <v>5</v>
      </c>
      <c r="L447" s="7" t="s">
        <v>6</v>
      </c>
      <c r="M447" s="7" t="s">
        <v>7</v>
      </c>
      <c r="N447" s="7" t="s">
        <v>8</v>
      </c>
      <c r="O447" s="7" t="s">
        <v>9</v>
      </c>
      <c r="P447" s="7" t="s">
        <v>10</v>
      </c>
      <c r="Q447" s="7" t="s">
        <v>11</v>
      </c>
      <c r="R447" s="8" t="s">
        <v>12</v>
      </c>
      <c r="S447" s="7" t="s">
        <v>13</v>
      </c>
      <c r="T447" s="8" t="s">
        <v>14</v>
      </c>
      <c r="U447" s="7" t="s">
        <v>15</v>
      </c>
      <c r="V447" s="8" t="s">
        <v>16</v>
      </c>
      <c r="W447" s="7" t="s">
        <v>17</v>
      </c>
      <c r="X447" s="8" t="s">
        <v>18</v>
      </c>
      <c r="Y447" s="7" t="s">
        <v>19</v>
      </c>
      <c r="Z447" s="7" t="s">
        <v>20</v>
      </c>
    </row>
    <row r="448" customFormat="false" ht="13.9" hidden="false" customHeight="true" outlineLevel="0" collapsed="false">
      <c r="A448" s="1" t="n">
        <v>7</v>
      </c>
      <c r="B448" s="1" t="n">
        <v>1</v>
      </c>
      <c r="C448" s="1" t="n">
        <v>1</v>
      </c>
      <c r="D448" s="74" t="s">
        <v>262</v>
      </c>
      <c r="E448" s="10" t="n">
        <v>610</v>
      </c>
      <c r="F448" s="10" t="s">
        <v>127</v>
      </c>
      <c r="G448" s="11" t="n">
        <v>26440.98</v>
      </c>
      <c r="H448" s="11" t="n">
        <v>32752.23</v>
      </c>
      <c r="I448" s="11" t="n">
        <v>31473</v>
      </c>
      <c r="J448" s="11" t="n">
        <v>31473</v>
      </c>
      <c r="K448" s="11" t="n">
        <v>35970</v>
      </c>
      <c r="L448" s="11"/>
      <c r="M448" s="11"/>
      <c r="N448" s="11"/>
      <c r="O448" s="11"/>
      <c r="P448" s="11" t="n">
        <f aca="false">K448+SUM(L448:O448)</f>
        <v>35970</v>
      </c>
      <c r="Q448" s="11" t="n">
        <v>9183.57</v>
      </c>
      <c r="R448" s="12" t="n">
        <f aca="false">Q448/$P448</f>
        <v>0.255311926605505</v>
      </c>
      <c r="S448" s="11" t="n">
        <v>18481.35</v>
      </c>
      <c r="T448" s="12" t="n">
        <f aca="false">S448/$P448</f>
        <v>0.513798999165972</v>
      </c>
      <c r="U448" s="11" t="n">
        <v>27478.67</v>
      </c>
      <c r="V448" s="12" t="n">
        <f aca="false">U448/$P448</f>
        <v>0.763932999721991</v>
      </c>
      <c r="W448" s="11" t="n">
        <v>36838.4</v>
      </c>
      <c r="X448" s="12" t="n">
        <f aca="false">W448/$P448</f>
        <v>1.02414234083959</v>
      </c>
      <c r="Y448" s="11" t="n">
        <v>37049</v>
      </c>
      <c r="Z448" s="11" t="n">
        <v>38161</v>
      </c>
    </row>
    <row r="449" customFormat="false" ht="13.9" hidden="false" customHeight="true" outlineLevel="0" collapsed="false">
      <c r="A449" s="1" t="n">
        <v>7</v>
      </c>
      <c r="B449" s="1" t="n">
        <v>1</v>
      </c>
      <c r="C449" s="1" t="n">
        <v>1</v>
      </c>
      <c r="D449" s="74"/>
      <c r="E449" s="10" t="n">
        <v>620</v>
      </c>
      <c r="F449" s="10" t="s">
        <v>128</v>
      </c>
      <c r="G449" s="11" t="n">
        <v>9271.02</v>
      </c>
      <c r="H449" s="11" t="n">
        <v>11339.77</v>
      </c>
      <c r="I449" s="11" t="n">
        <v>12375</v>
      </c>
      <c r="J449" s="11" t="n">
        <v>12375</v>
      </c>
      <c r="K449" s="11" t="n">
        <v>14142</v>
      </c>
      <c r="L449" s="11"/>
      <c r="M449" s="11"/>
      <c r="N449" s="11"/>
      <c r="O449" s="11"/>
      <c r="P449" s="11" t="n">
        <f aca="false">K449+SUM(L449:O449)</f>
        <v>14142</v>
      </c>
      <c r="Q449" s="11" t="n">
        <v>3172.82</v>
      </c>
      <c r="R449" s="12" t="n">
        <f aca="false">Q449/$P449</f>
        <v>0.224354405317494</v>
      </c>
      <c r="S449" s="11" t="n">
        <v>6368.72</v>
      </c>
      <c r="T449" s="12" t="n">
        <f aca="false">S449/$P449</f>
        <v>0.450340828737095</v>
      </c>
      <c r="U449" s="11" t="n">
        <v>10002.37</v>
      </c>
      <c r="V449" s="12" t="n">
        <f aca="false">U449/$P449</f>
        <v>0.707281148352426</v>
      </c>
      <c r="W449" s="11" t="n">
        <v>13273.6</v>
      </c>
      <c r="X449" s="12" t="n">
        <f aca="false">W449/$P449</f>
        <v>0.938594258237873</v>
      </c>
      <c r="Y449" s="11" t="n">
        <v>14566</v>
      </c>
      <c r="Z449" s="11" t="n">
        <v>15003</v>
      </c>
    </row>
    <row r="450" customFormat="false" ht="13.9" hidden="false" customHeight="true" outlineLevel="0" collapsed="false">
      <c r="D450" s="74"/>
      <c r="E450" s="10" t="n">
        <v>630</v>
      </c>
      <c r="F450" s="10" t="s">
        <v>129</v>
      </c>
      <c r="G450" s="11" t="n">
        <v>0</v>
      </c>
      <c r="H450" s="11" t="n">
        <v>0</v>
      </c>
      <c r="I450" s="11" t="n">
        <v>0</v>
      </c>
      <c r="J450" s="11" t="n">
        <v>0</v>
      </c>
      <c r="K450" s="11" t="n">
        <v>0</v>
      </c>
      <c r="L450" s="11"/>
      <c r="M450" s="11"/>
      <c r="N450" s="11"/>
      <c r="O450" s="11"/>
      <c r="P450" s="11" t="n">
        <f aca="false">K450+SUM(L450:O450)</f>
        <v>0</v>
      </c>
      <c r="Q450" s="11" t="n">
        <v>0</v>
      </c>
      <c r="R450" s="12" t="e">
        <f aca="false">Q450/$P450</f>
        <v>#DIV/0!</v>
      </c>
      <c r="S450" s="11" t="n">
        <v>0</v>
      </c>
      <c r="T450" s="12" t="e">
        <f aca="false">S450/$P450</f>
        <v>#DIV/0!</v>
      </c>
      <c r="U450" s="11" t="n">
        <v>0</v>
      </c>
      <c r="V450" s="12" t="e">
        <f aca="false">U450/$P450</f>
        <v>#DIV/0!</v>
      </c>
      <c r="W450" s="11" t="n">
        <v>3600</v>
      </c>
      <c r="X450" s="12" t="e">
        <f aca="false">W450/$P450</f>
        <v>#DIV/0!</v>
      </c>
      <c r="Y450" s="11" t="n">
        <v>0</v>
      </c>
      <c r="Z450" s="11" t="n">
        <v>0</v>
      </c>
    </row>
    <row r="451" customFormat="false" ht="13.9" hidden="false" customHeight="true" outlineLevel="0" collapsed="false">
      <c r="A451" s="1" t="n">
        <v>7</v>
      </c>
      <c r="B451" s="1" t="n">
        <v>1</v>
      </c>
      <c r="C451" s="1" t="n">
        <v>1</v>
      </c>
      <c r="D451" s="75" t="s">
        <v>21</v>
      </c>
      <c r="E451" s="35" t="n">
        <v>111</v>
      </c>
      <c r="F451" s="35" t="s">
        <v>132</v>
      </c>
      <c r="G451" s="36" t="n">
        <f aca="false">SUM(G448:G450)</f>
        <v>35712</v>
      </c>
      <c r="H451" s="36" t="n">
        <f aca="false">SUM(H448:H450)</f>
        <v>44092</v>
      </c>
      <c r="I451" s="36" t="n">
        <f aca="false">SUM(I448:I450)</f>
        <v>43848</v>
      </c>
      <c r="J451" s="36" t="n">
        <f aca="false">SUM(J448:J450)</f>
        <v>43848</v>
      </c>
      <c r="K451" s="36" t="n">
        <f aca="false">SUM(K448:K450)</f>
        <v>50112</v>
      </c>
      <c r="L451" s="36" t="n">
        <f aca="false">SUM(L448:L450)</f>
        <v>0</v>
      </c>
      <c r="M451" s="36" t="n">
        <f aca="false">SUM(M448:M450)</f>
        <v>0</v>
      </c>
      <c r="N451" s="36" t="n">
        <f aca="false">SUM(N448:N450)</f>
        <v>0</v>
      </c>
      <c r="O451" s="36" t="n">
        <f aca="false">SUM(O448:O450)</f>
        <v>0</v>
      </c>
      <c r="P451" s="36" t="n">
        <f aca="false">SUM(P448:P450)</f>
        <v>50112</v>
      </c>
      <c r="Q451" s="36" t="n">
        <f aca="false">SUM(Q448:Q450)</f>
        <v>12356.39</v>
      </c>
      <c r="R451" s="91" t="n">
        <f aca="false">Q451/$P451</f>
        <v>0.246575470945083</v>
      </c>
      <c r="S451" s="36" t="n">
        <f aca="false">SUM(S448:S450)</f>
        <v>24850.07</v>
      </c>
      <c r="T451" s="91" t="n">
        <f aca="false">S451/$P451</f>
        <v>0.4958906050447</v>
      </c>
      <c r="U451" s="36" t="n">
        <f aca="false">SUM(U448:U450)</f>
        <v>37481.04</v>
      </c>
      <c r="V451" s="91" t="n">
        <f aca="false">U451/$P451</f>
        <v>0.747945402298851</v>
      </c>
      <c r="W451" s="36" t="n">
        <f aca="false">SUM(W448:W450)</f>
        <v>53712</v>
      </c>
      <c r="X451" s="91" t="n">
        <f aca="false">W451/$P451</f>
        <v>1.07183908045977</v>
      </c>
      <c r="Y451" s="36" t="n">
        <f aca="false">SUM(Y448:Y450)</f>
        <v>51615</v>
      </c>
      <c r="Z451" s="36" t="n">
        <f aca="false">SUM(Z448:Z450)</f>
        <v>53164</v>
      </c>
    </row>
    <row r="452" customFormat="false" ht="13.9" hidden="false" customHeight="true" outlineLevel="0" collapsed="false">
      <c r="A452" s="1" t="n">
        <v>7</v>
      </c>
      <c r="B452" s="1" t="n">
        <v>1</v>
      </c>
      <c r="C452" s="1" t="n">
        <v>1</v>
      </c>
      <c r="D452" s="74" t="s">
        <v>262</v>
      </c>
      <c r="E452" s="10" t="n">
        <v>610</v>
      </c>
      <c r="F452" s="10" t="s">
        <v>127</v>
      </c>
      <c r="G452" s="11" t="n">
        <v>32739.95</v>
      </c>
      <c r="H452" s="11" t="n">
        <v>44457.69</v>
      </c>
      <c r="I452" s="11" t="n">
        <f aca="false">45344-105</f>
        <v>45239</v>
      </c>
      <c r="J452" s="11" t="n">
        <v>49251.79</v>
      </c>
      <c r="K452" s="11" t="n">
        <v>40363</v>
      </c>
      <c r="L452" s="11"/>
      <c r="M452" s="11" t="n">
        <f aca="false">968-18</f>
        <v>950</v>
      </c>
      <c r="N452" s="11" t="n">
        <v>2098</v>
      </c>
      <c r="O452" s="11" t="n">
        <v>-1963</v>
      </c>
      <c r="P452" s="11" t="n">
        <f aca="false">K452+SUM(L452:O452)</f>
        <v>41448</v>
      </c>
      <c r="Q452" s="11" t="n">
        <v>6945.95</v>
      </c>
      <c r="R452" s="12" t="n">
        <f aca="false">Q452/$P452</f>
        <v>0.167582271762208</v>
      </c>
      <c r="S452" s="11" t="n">
        <v>16746.32</v>
      </c>
      <c r="T452" s="12" t="n">
        <f aca="false">S452/$P452</f>
        <v>0.40403204014669</v>
      </c>
      <c r="U452" s="11" t="n">
        <v>25495.74</v>
      </c>
      <c r="V452" s="12" t="n">
        <f aca="false">U452/$P452</f>
        <v>0.615125940938043</v>
      </c>
      <c r="W452" s="11" t="n">
        <v>39073.97</v>
      </c>
      <c r="X452" s="12" t="n">
        <f aca="false">W452/$P452</f>
        <v>0.942722688670141</v>
      </c>
      <c r="Y452" s="11" t="n">
        <v>40922</v>
      </c>
      <c r="Z452" s="11" t="n">
        <v>41449</v>
      </c>
    </row>
    <row r="453" customFormat="false" ht="13.9" hidden="false" customHeight="true" outlineLevel="0" collapsed="false">
      <c r="A453" s="1" t="n">
        <v>7</v>
      </c>
      <c r="B453" s="1" t="n">
        <v>1</v>
      </c>
      <c r="C453" s="1" t="n">
        <v>1</v>
      </c>
      <c r="D453" s="74"/>
      <c r="E453" s="10" t="n">
        <v>620</v>
      </c>
      <c r="F453" s="10" t="s">
        <v>128</v>
      </c>
      <c r="G453" s="11" t="n">
        <v>12271.98</v>
      </c>
      <c r="H453" s="11" t="n">
        <v>15094.65</v>
      </c>
      <c r="I453" s="11" t="n">
        <f aca="false">18848+197</f>
        <v>19045</v>
      </c>
      <c r="J453" s="11" t="n">
        <v>19682.73</v>
      </c>
      <c r="K453" s="11" t="n">
        <v>16105</v>
      </c>
      <c r="L453" s="11"/>
      <c r="M453" s="11" t="n">
        <v>1449</v>
      </c>
      <c r="N453" s="11" t="n">
        <v>922</v>
      </c>
      <c r="O453" s="11" t="n">
        <v>1963</v>
      </c>
      <c r="P453" s="11" t="n">
        <f aca="false">K453+SUM(L453:O453)</f>
        <v>20439</v>
      </c>
      <c r="Q453" s="11" t="n">
        <v>3074.39</v>
      </c>
      <c r="R453" s="12" t="n">
        <f aca="false">Q453/$P453</f>
        <v>0.150417828660893</v>
      </c>
      <c r="S453" s="11" t="n">
        <v>6815.67</v>
      </c>
      <c r="T453" s="12" t="n">
        <f aca="false">S453/$P453</f>
        <v>0.333463965947453</v>
      </c>
      <c r="U453" s="11" t="n">
        <v>9954.48</v>
      </c>
      <c r="V453" s="12" t="n">
        <f aca="false">U453/$P453</f>
        <v>0.487033612211948</v>
      </c>
      <c r="W453" s="11" t="n">
        <v>14864.56</v>
      </c>
      <c r="X453" s="12" t="n">
        <f aca="false">W453/$P453</f>
        <v>0.727264543275111</v>
      </c>
      <c r="Y453" s="11" t="n">
        <v>15861</v>
      </c>
      <c r="Z453" s="11" t="n">
        <v>16096</v>
      </c>
    </row>
    <row r="454" customFormat="false" ht="13.9" hidden="false" customHeight="true" outlineLevel="0" collapsed="false">
      <c r="A454" s="1" t="n">
        <v>7</v>
      </c>
      <c r="B454" s="1" t="n">
        <v>1</v>
      </c>
      <c r="C454" s="1" t="n">
        <v>1</v>
      </c>
      <c r="D454" s="74"/>
      <c r="E454" s="10" t="n">
        <v>630</v>
      </c>
      <c r="F454" s="10" t="s">
        <v>129</v>
      </c>
      <c r="G454" s="11" t="n">
        <v>31927.69</v>
      </c>
      <c r="H454" s="11" t="n">
        <v>30286.91</v>
      </c>
      <c r="I454" s="11" t="n">
        <f aca="false">6876+23716</f>
        <v>30592</v>
      </c>
      <c r="J454" s="11" t="n">
        <v>28888.67</v>
      </c>
      <c r="K454" s="11" t="n">
        <f aca="false">6711+28120</f>
        <v>34831</v>
      </c>
      <c r="L454" s="11"/>
      <c r="M454" s="11"/>
      <c r="N454" s="11"/>
      <c r="O454" s="11"/>
      <c r="P454" s="11" t="n">
        <f aca="false">K454+SUM(L454:O454)</f>
        <v>34831</v>
      </c>
      <c r="Q454" s="11" t="n">
        <v>6939.47</v>
      </c>
      <c r="R454" s="12" t="n">
        <f aca="false">Q454/$P454</f>
        <v>0.199232580172835</v>
      </c>
      <c r="S454" s="11" t="n">
        <v>16630.38</v>
      </c>
      <c r="T454" s="12" t="n">
        <f aca="false">S454/$P454</f>
        <v>0.477459159943728</v>
      </c>
      <c r="U454" s="11" t="n">
        <v>25392.56</v>
      </c>
      <c r="V454" s="12" t="n">
        <f aca="false">U454/$P454</f>
        <v>0.729021848353478</v>
      </c>
      <c r="W454" s="11" t="n">
        <v>33659.12</v>
      </c>
      <c r="X454" s="12" t="n">
        <f aca="false">W454/$P454</f>
        <v>0.966355258246964</v>
      </c>
      <c r="Y454" s="11" t="n">
        <f aca="false">6641+28120</f>
        <v>34761</v>
      </c>
      <c r="Z454" s="11" t="n">
        <f aca="false">6770+28120</f>
        <v>34890</v>
      </c>
    </row>
    <row r="455" customFormat="false" ht="13.9" hidden="false" customHeight="true" outlineLevel="0" collapsed="false">
      <c r="A455" s="1" t="n">
        <v>7</v>
      </c>
      <c r="B455" s="1" t="n">
        <v>1</v>
      </c>
      <c r="C455" s="1" t="n">
        <v>1</v>
      </c>
      <c r="D455" s="74"/>
      <c r="E455" s="10" t="n">
        <v>640</v>
      </c>
      <c r="F455" s="10" t="s">
        <v>130</v>
      </c>
      <c r="G455" s="11" t="n">
        <v>87.84</v>
      </c>
      <c r="H455" s="11" t="n">
        <v>172.18</v>
      </c>
      <c r="I455" s="11" t="n">
        <f aca="false">3966+105</f>
        <v>4071</v>
      </c>
      <c r="J455" s="11" t="n">
        <v>6387.09</v>
      </c>
      <c r="K455" s="11" t="n">
        <v>1278</v>
      </c>
      <c r="L455" s="11"/>
      <c r="M455" s="11" t="n">
        <f aca="false">3870+18</f>
        <v>3888</v>
      </c>
      <c r="N455" s="11" t="n">
        <v>1402</v>
      </c>
      <c r="O455" s="11"/>
      <c r="P455" s="11" t="n">
        <f aca="false">K455+SUM(L455:O455)</f>
        <v>6568</v>
      </c>
      <c r="Q455" s="11" t="n">
        <v>1278</v>
      </c>
      <c r="R455" s="12" t="n">
        <f aca="false">Q455/$P455</f>
        <v>0.194579780755177</v>
      </c>
      <c r="S455" s="11" t="n">
        <v>1278</v>
      </c>
      <c r="T455" s="12" t="n">
        <f aca="false">S455/$P455</f>
        <v>0.194579780755177</v>
      </c>
      <c r="U455" s="11" t="n">
        <v>6507.65</v>
      </c>
      <c r="V455" s="12" t="n">
        <f aca="false">U455/$P455</f>
        <v>0.990811510353228</v>
      </c>
      <c r="W455" s="11" t="n">
        <v>6568.23</v>
      </c>
      <c r="X455" s="12" t="n">
        <f aca="false">W455/$P455</f>
        <v>1.0000350182704</v>
      </c>
      <c r="Y455" s="11" t="n">
        <v>0</v>
      </c>
      <c r="Z455" s="11" t="n">
        <v>0</v>
      </c>
    </row>
    <row r="456" customFormat="false" ht="13.9" hidden="false" customHeight="true" outlineLevel="0" collapsed="false">
      <c r="A456" s="1" t="n">
        <v>7</v>
      </c>
      <c r="B456" s="1" t="n">
        <v>1</v>
      </c>
      <c r="C456" s="1" t="n">
        <v>1</v>
      </c>
      <c r="D456" s="75" t="s">
        <v>21</v>
      </c>
      <c r="E456" s="35" t="n">
        <v>41</v>
      </c>
      <c r="F456" s="35" t="s">
        <v>23</v>
      </c>
      <c r="G456" s="36" t="n">
        <f aca="false">SUM(G452:G455)</f>
        <v>77027.46</v>
      </c>
      <c r="H456" s="36" t="n">
        <f aca="false">SUM(H452:H455)</f>
        <v>90011.43</v>
      </c>
      <c r="I456" s="36" t="n">
        <f aca="false">SUM(I452:I455)</f>
        <v>98947</v>
      </c>
      <c r="J456" s="36" t="n">
        <f aca="false">SUM(J452:J455)</f>
        <v>104210.28</v>
      </c>
      <c r="K456" s="36" t="n">
        <f aca="false">SUM(K452:K455)</f>
        <v>92577</v>
      </c>
      <c r="L456" s="36" t="n">
        <f aca="false">SUM(L452:L455)</f>
        <v>0</v>
      </c>
      <c r="M456" s="36" t="n">
        <f aca="false">SUM(M452:M455)</f>
        <v>6287</v>
      </c>
      <c r="N456" s="36" t="n">
        <f aca="false">SUM(N452:N455)</f>
        <v>4422</v>
      </c>
      <c r="O456" s="36" t="n">
        <f aca="false">SUM(O452:O455)</f>
        <v>0</v>
      </c>
      <c r="P456" s="36" t="n">
        <f aca="false">SUM(P452:P455)</f>
        <v>103286</v>
      </c>
      <c r="Q456" s="36" t="n">
        <f aca="false">SUM(Q452:Q455)</f>
        <v>18237.81</v>
      </c>
      <c r="R456" s="37" t="n">
        <f aca="false">Q456/$P456</f>
        <v>0.176575818600778</v>
      </c>
      <c r="S456" s="36" t="n">
        <f aca="false">SUM(S452:S455)</f>
        <v>41470.37</v>
      </c>
      <c r="T456" s="37" t="n">
        <f aca="false">S456/$P456</f>
        <v>0.401510078810294</v>
      </c>
      <c r="U456" s="36" t="n">
        <f aca="false">SUM(U452:U455)</f>
        <v>67350.43</v>
      </c>
      <c r="V456" s="37" t="n">
        <f aca="false">U456/$P456</f>
        <v>0.652077048196271</v>
      </c>
      <c r="W456" s="36" t="n">
        <f aca="false">SUM(W452:W455)</f>
        <v>94165.88</v>
      </c>
      <c r="X456" s="37" t="n">
        <f aca="false">W456/$P456</f>
        <v>0.911700327246674</v>
      </c>
      <c r="Y456" s="36" t="n">
        <f aca="false">SUM(Y452:Y455)</f>
        <v>91544</v>
      </c>
      <c r="Z456" s="36" t="n">
        <f aca="false">SUM(Z452:Z455)</f>
        <v>92435</v>
      </c>
    </row>
    <row r="457" customFormat="false" ht="13.9" hidden="true" customHeight="true" outlineLevel="0" collapsed="false">
      <c r="A457" s="1" t="n">
        <v>7</v>
      </c>
      <c r="B457" s="1" t="n">
        <v>1</v>
      </c>
      <c r="C457" s="1" t="n">
        <v>1</v>
      </c>
      <c r="D457" s="38" t="s">
        <v>262</v>
      </c>
      <c r="E457" s="10" t="n">
        <v>630</v>
      </c>
      <c r="F457" s="10" t="s">
        <v>129</v>
      </c>
      <c r="G457" s="11" t="n">
        <v>1000</v>
      </c>
      <c r="H457" s="11" t="n">
        <v>0</v>
      </c>
      <c r="I457" s="11" t="n">
        <v>0</v>
      </c>
      <c r="J457" s="11" t="n">
        <v>0</v>
      </c>
      <c r="K457" s="11" t="n">
        <v>0</v>
      </c>
      <c r="L457" s="11"/>
      <c r="M457" s="11"/>
      <c r="N457" s="11"/>
      <c r="O457" s="11"/>
      <c r="P457" s="11" t="n">
        <f aca="false">K457+SUM(L457:O457)</f>
        <v>0</v>
      </c>
      <c r="Q457" s="11" t="n">
        <v>0</v>
      </c>
      <c r="R457" s="12" t="e">
        <f aca="false">Q457/$P457</f>
        <v>#DIV/0!</v>
      </c>
      <c r="S457" s="11" t="n">
        <v>0</v>
      </c>
      <c r="T457" s="12" t="e">
        <f aca="false">S457/$P457</f>
        <v>#DIV/0!</v>
      </c>
      <c r="U457" s="11" t="n">
        <v>0</v>
      </c>
      <c r="V457" s="12" t="e">
        <f aca="false">U457/$P457</f>
        <v>#DIV/0!</v>
      </c>
      <c r="W457" s="11" t="n">
        <v>0</v>
      </c>
      <c r="X457" s="12" t="e">
        <f aca="false">W457/$P457</f>
        <v>#DIV/0!</v>
      </c>
      <c r="Y457" s="11" t="n">
        <f aca="false">K457</f>
        <v>0</v>
      </c>
      <c r="Z457" s="11" t="n">
        <f aca="false">Y457</f>
        <v>0</v>
      </c>
    </row>
    <row r="458" customFormat="false" ht="13.9" hidden="false" customHeight="true" outlineLevel="0" collapsed="false">
      <c r="A458" s="1" t="n">
        <v>7</v>
      </c>
      <c r="B458" s="1" t="n">
        <v>1</v>
      </c>
      <c r="C458" s="1" t="n">
        <v>1</v>
      </c>
      <c r="D458" s="38" t="s">
        <v>262</v>
      </c>
      <c r="E458" s="10" t="n">
        <v>640</v>
      </c>
      <c r="F458" s="10" t="s">
        <v>130</v>
      </c>
      <c r="G458" s="11" t="n">
        <v>801.98</v>
      </c>
      <c r="H458" s="11" t="n">
        <v>958.75</v>
      </c>
      <c r="I458" s="11" t="n">
        <v>959</v>
      </c>
      <c r="J458" s="11" t="n">
        <v>1079.65</v>
      </c>
      <c r="K458" s="11" t="n">
        <v>1080</v>
      </c>
      <c r="L458" s="11"/>
      <c r="M458" s="11"/>
      <c r="N458" s="11"/>
      <c r="O458" s="11" t="n">
        <v>141</v>
      </c>
      <c r="P458" s="11" t="n">
        <f aca="false">K458+SUM(L458:O458)</f>
        <v>1221</v>
      </c>
      <c r="Q458" s="11" t="n">
        <v>0</v>
      </c>
      <c r="R458" s="12" t="n">
        <f aca="false">Q458/$P458</f>
        <v>0</v>
      </c>
      <c r="S458" s="11" t="n">
        <v>0</v>
      </c>
      <c r="T458" s="12" t="n">
        <f aca="false">S458/$P458</f>
        <v>0</v>
      </c>
      <c r="U458" s="11" t="n">
        <v>0</v>
      </c>
      <c r="V458" s="12" t="n">
        <f aca="false">U458/$P458</f>
        <v>0</v>
      </c>
      <c r="W458" s="11" t="n">
        <v>1221.09</v>
      </c>
      <c r="X458" s="12" t="n">
        <f aca="false">W458/$P458</f>
        <v>1.00007371007371</v>
      </c>
      <c r="Y458" s="11" t="n">
        <f aca="false">K458</f>
        <v>1080</v>
      </c>
      <c r="Z458" s="11" t="n">
        <f aca="false">Y458</f>
        <v>1080</v>
      </c>
    </row>
    <row r="459" customFormat="false" ht="13.9" hidden="false" customHeight="true" outlineLevel="0" collapsed="false">
      <c r="A459" s="1" t="n">
        <v>7</v>
      </c>
      <c r="B459" s="1" t="n">
        <v>1</v>
      </c>
      <c r="C459" s="1" t="n">
        <v>1</v>
      </c>
      <c r="D459" s="75" t="s">
        <v>21</v>
      </c>
      <c r="E459" s="35" t="n">
        <v>72</v>
      </c>
      <c r="F459" s="35" t="s">
        <v>25</v>
      </c>
      <c r="G459" s="36" t="n">
        <f aca="false">SUM(G457:G458)</f>
        <v>1801.98</v>
      </c>
      <c r="H459" s="36" t="n">
        <f aca="false">SUM(H457:H458)</f>
        <v>958.75</v>
      </c>
      <c r="I459" s="36" t="n">
        <f aca="false">SUM(I457:I458)</f>
        <v>959</v>
      </c>
      <c r="J459" s="36" t="n">
        <f aca="false">SUM(J457:J458)</f>
        <v>1079.65</v>
      </c>
      <c r="K459" s="36" t="n">
        <f aca="false">SUM(K457:K458)</f>
        <v>1080</v>
      </c>
      <c r="L459" s="36" t="n">
        <f aca="false">SUM(L457:L458)</f>
        <v>0</v>
      </c>
      <c r="M459" s="36" t="n">
        <f aca="false">SUM(M457:M458)</f>
        <v>0</v>
      </c>
      <c r="N459" s="36" t="n">
        <f aca="false">SUM(N457:N458)</f>
        <v>0</v>
      </c>
      <c r="O459" s="36" t="n">
        <f aca="false">SUM(O457:O458)</f>
        <v>141</v>
      </c>
      <c r="P459" s="36" t="n">
        <f aca="false">SUM(P457:P458)</f>
        <v>1221</v>
      </c>
      <c r="Q459" s="36" t="n">
        <f aca="false">SUM(Q457:Q458)</f>
        <v>0</v>
      </c>
      <c r="R459" s="37" t="n">
        <f aca="false">Q459/$P459</f>
        <v>0</v>
      </c>
      <c r="S459" s="36" t="n">
        <f aca="false">SUM(S457:S458)</f>
        <v>0</v>
      </c>
      <c r="T459" s="37" t="n">
        <f aca="false">S459/$P459</f>
        <v>0</v>
      </c>
      <c r="U459" s="36" t="n">
        <f aca="false">SUM(U457:U458)</f>
        <v>0</v>
      </c>
      <c r="V459" s="37" t="n">
        <f aca="false">U459/$P459</f>
        <v>0</v>
      </c>
      <c r="W459" s="36" t="n">
        <f aca="false">SUM(W457:W458)</f>
        <v>1221.09</v>
      </c>
      <c r="X459" s="37" t="n">
        <f aca="false">W459/$P459</f>
        <v>1.00007371007371</v>
      </c>
      <c r="Y459" s="36" t="n">
        <f aca="false">SUM(Y457:Y458)</f>
        <v>1080</v>
      </c>
      <c r="Z459" s="36" t="n">
        <f aca="false">SUM(Z457:Z458)</f>
        <v>1080</v>
      </c>
    </row>
    <row r="460" customFormat="false" ht="13.9" hidden="false" customHeight="true" outlineLevel="0" collapsed="false">
      <c r="A460" s="1" t="n">
        <v>7</v>
      </c>
      <c r="B460" s="1" t="n">
        <v>1</v>
      </c>
      <c r="C460" s="1" t="n">
        <v>1</v>
      </c>
      <c r="D460" s="17"/>
      <c r="E460" s="18"/>
      <c r="F460" s="13" t="s">
        <v>122</v>
      </c>
      <c r="G460" s="14" t="n">
        <f aca="false">G451+G456+G459</f>
        <v>114541.44</v>
      </c>
      <c r="H460" s="14" t="n">
        <f aca="false">H451+H456+H459</f>
        <v>135062.18</v>
      </c>
      <c r="I460" s="14" t="n">
        <f aca="false">I451+I456+I459</f>
        <v>143754</v>
      </c>
      <c r="J460" s="14" t="n">
        <f aca="false">J451+J456+J459</f>
        <v>149137.93</v>
      </c>
      <c r="K460" s="14" t="n">
        <f aca="false">K451+K456+K459</f>
        <v>143769</v>
      </c>
      <c r="L460" s="14" t="n">
        <f aca="false">L451+L456+L459</f>
        <v>0</v>
      </c>
      <c r="M460" s="14" t="n">
        <f aca="false">M451+M456+M459</f>
        <v>6287</v>
      </c>
      <c r="N460" s="14" t="n">
        <f aca="false">N451+N456+N459</f>
        <v>4422</v>
      </c>
      <c r="O460" s="14" t="n">
        <f aca="false">O451+O456+O459</f>
        <v>141</v>
      </c>
      <c r="P460" s="14" t="n">
        <f aca="false">P451+P456+P459</f>
        <v>154619</v>
      </c>
      <c r="Q460" s="14" t="n">
        <f aca="false">Q451+Q456+Q459</f>
        <v>30594.2</v>
      </c>
      <c r="R460" s="15" t="n">
        <f aca="false">Q460/$P460</f>
        <v>0.197868308551989</v>
      </c>
      <c r="S460" s="14" t="n">
        <f aca="false">S451+S456+S459</f>
        <v>66320.44</v>
      </c>
      <c r="T460" s="15" t="n">
        <f aca="false">S460/$P460</f>
        <v>0.428928139491266</v>
      </c>
      <c r="U460" s="14" t="n">
        <f aca="false">U451+U456+U459</f>
        <v>104831.47</v>
      </c>
      <c r="V460" s="15" t="n">
        <f aca="false">U460/$P460</f>
        <v>0.677998628887782</v>
      </c>
      <c r="W460" s="14" t="n">
        <f aca="false">W451+W456+W459</f>
        <v>149098.97</v>
      </c>
      <c r="X460" s="15" t="n">
        <f aca="false">W460/$P460</f>
        <v>0.964299148228872</v>
      </c>
      <c r="Y460" s="14" t="n">
        <f aca="false">Y451+Y456+Y459</f>
        <v>144239</v>
      </c>
      <c r="Z460" s="14" t="n">
        <f aca="false">Z451+Z456+Z459</f>
        <v>146679</v>
      </c>
    </row>
    <row r="462" customFormat="false" ht="13.9" hidden="false" customHeight="true" outlineLevel="0" collapsed="false">
      <c r="E462" s="39" t="s">
        <v>57</v>
      </c>
      <c r="F462" s="17" t="s">
        <v>147</v>
      </c>
      <c r="G462" s="40" t="n">
        <v>2926</v>
      </c>
      <c r="H462" s="40" t="n">
        <v>2453</v>
      </c>
      <c r="I462" s="40" t="n">
        <v>2585</v>
      </c>
      <c r="J462" s="40" t="n">
        <v>2585</v>
      </c>
      <c r="K462" s="40" t="n">
        <v>4333</v>
      </c>
      <c r="L462" s="40"/>
      <c r="M462" s="40"/>
      <c r="N462" s="40" t="n">
        <v>-373</v>
      </c>
      <c r="O462" s="40" t="n">
        <v>-469</v>
      </c>
      <c r="P462" s="40" t="n">
        <f aca="false">K462+SUM(L462:O462)</f>
        <v>3491</v>
      </c>
      <c r="Q462" s="40" t="n">
        <v>720</v>
      </c>
      <c r="R462" s="41" t="n">
        <f aca="false">Q462/$P462</f>
        <v>0.206244629046119</v>
      </c>
      <c r="S462" s="40" t="n">
        <v>1800</v>
      </c>
      <c r="T462" s="41" t="n">
        <f aca="false">S462/$P462</f>
        <v>0.515611572615296</v>
      </c>
      <c r="U462" s="40" t="n">
        <v>2880</v>
      </c>
      <c r="V462" s="41" t="n">
        <f aca="false">U462/$P462</f>
        <v>0.824978516184474</v>
      </c>
      <c r="W462" s="40" t="n">
        <v>2160</v>
      </c>
      <c r="X462" s="42" t="n">
        <f aca="false">W462/$P462</f>
        <v>0.618733887138356</v>
      </c>
      <c r="Y462" s="40" t="n">
        <f aca="false">K462</f>
        <v>4333</v>
      </c>
      <c r="Z462" s="43" t="n">
        <f aca="false">Y462</f>
        <v>4333</v>
      </c>
    </row>
    <row r="463" customFormat="false" ht="13.9" hidden="false" customHeight="true" outlineLevel="0" collapsed="false">
      <c r="E463" s="44"/>
      <c r="F463" s="83" t="s">
        <v>148</v>
      </c>
      <c r="G463" s="70" t="n">
        <v>4785.06</v>
      </c>
      <c r="H463" s="70" t="n">
        <v>2148</v>
      </c>
      <c r="I463" s="70" t="n">
        <v>1752</v>
      </c>
      <c r="J463" s="70" t="n">
        <v>1752</v>
      </c>
      <c r="K463" s="70" t="n">
        <v>4861</v>
      </c>
      <c r="L463" s="70"/>
      <c r="M463" s="70"/>
      <c r="N463" s="70" t="n">
        <v>-4</v>
      </c>
      <c r="O463" s="70"/>
      <c r="P463" s="70" t="n">
        <f aca="false">K463+SUM(L463:O463)</f>
        <v>4857</v>
      </c>
      <c r="Q463" s="70" t="n">
        <v>883</v>
      </c>
      <c r="R463" s="71" t="n">
        <f aca="false">Q463/$P463</f>
        <v>0.181799464690138</v>
      </c>
      <c r="S463" s="70" t="n">
        <v>2207.5</v>
      </c>
      <c r="T463" s="71" t="n">
        <f aca="false">S463/$P463</f>
        <v>0.454498661725345</v>
      </c>
      <c r="U463" s="70" t="n">
        <v>3532</v>
      </c>
      <c r="V463" s="71" t="n">
        <f aca="false">U463/$P463</f>
        <v>0.727197858760552</v>
      </c>
      <c r="W463" s="70" t="n">
        <v>3056.5</v>
      </c>
      <c r="X463" s="47" t="n">
        <f aca="false">W463/$P463</f>
        <v>0.629297920527074</v>
      </c>
      <c r="Y463" s="70" t="n">
        <f aca="false">K463</f>
        <v>4861</v>
      </c>
      <c r="Z463" s="48" t="n">
        <f aca="false">Y463</f>
        <v>4861</v>
      </c>
    </row>
    <row r="464" customFormat="false" ht="13.9" hidden="false" customHeight="true" outlineLevel="0" collapsed="false">
      <c r="E464" s="44"/>
      <c r="F464" s="83" t="s">
        <v>263</v>
      </c>
      <c r="G464" s="70" t="n">
        <v>10244.33</v>
      </c>
      <c r="H464" s="70" t="n">
        <v>13404.89</v>
      </c>
      <c r="I464" s="70" t="n">
        <v>13405</v>
      </c>
      <c r="J464" s="70" t="n">
        <v>12133.27</v>
      </c>
      <c r="K464" s="70" t="n">
        <v>13212</v>
      </c>
      <c r="L464" s="70"/>
      <c r="M464" s="70"/>
      <c r="N464" s="70"/>
      <c r="O464" s="70" t="n">
        <v>1216</v>
      </c>
      <c r="P464" s="70" t="n">
        <f aca="false">K464+SUM(L464:O464)</f>
        <v>14428</v>
      </c>
      <c r="Q464" s="70" t="n">
        <v>3135.75</v>
      </c>
      <c r="R464" s="71" t="n">
        <f aca="false">Q464/$P464</f>
        <v>0.217337815359024</v>
      </c>
      <c r="S464" s="70" t="n">
        <v>6917.73</v>
      </c>
      <c r="T464" s="71" t="n">
        <f aca="false">S464/$P464</f>
        <v>0.479465622400887</v>
      </c>
      <c r="U464" s="70" t="n">
        <v>10660.64</v>
      </c>
      <c r="V464" s="71" t="n">
        <f aca="false">U464/$P464</f>
        <v>0.738885500415858</v>
      </c>
      <c r="W464" s="70" t="n">
        <v>14424.66</v>
      </c>
      <c r="X464" s="47" t="n">
        <f aca="false">W464/$P464</f>
        <v>0.999768505683393</v>
      </c>
      <c r="Y464" s="70" t="n">
        <f aca="false">K464</f>
        <v>13212</v>
      </c>
      <c r="Z464" s="48" t="n">
        <f aca="false">Y464</f>
        <v>13212</v>
      </c>
    </row>
    <row r="465" customFormat="false" ht="13.9" hidden="false" customHeight="true" outlineLevel="0" collapsed="false">
      <c r="E465" s="52"/>
      <c r="F465" s="86" t="s">
        <v>264</v>
      </c>
      <c r="G465" s="54"/>
      <c r="H465" s="54" t="n">
        <v>0</v>
      </c>
      <c r="I465" s="54" t="n">
        <v>5074</v>
      </c>
      <c r="J465" s="54" t="n">
        <v>8101.26</v>
      </c>
      <c r="K465" s="54" t="n">
        <v>1725</v>
      </c>
      <c r="L465" s="54"/>
      <c r="M465" s="54" t="n">
        <v>3888</v>
      </c>
      <c r="N465" s="54" t="n">
        <v>1303</v>
      </c>
      <c r="O465" s="54"/>
      <c r="P465" s="54" t="n">
        <f aca="false">K465+SUM(L465:O465)</f>
        <v>6916</v>
      </c>
      <c r="Q465" s="54" t="n">
        <v>1725</v>
      </c>
      <c r="R465" s="55" t="n">
        <f aca="false">Q465/$P465</f>
        <v>0.249421631000578</v>
      </c>
      <c r="S465" s="54" t="n">
        <v>1725</v>
      </c>
      <c r="T465" s="55" t="n">
        <f aca="false">S465/$P465</f>
        <v>0.249421631000578</v>
      </c>
      <c r="U465" s="54" t="n">
        <v>6916</v>
      </c>
      <c r="V465" s="55" t="n">
        <f aca="false">U465/$P465</f>
        <v>1</v>
      </c>
      <c r="W465" s="54" t="n">
        <v>6916</v>
      </c>
      <c r="X465" s="56" t="n">
        <f aca="false">W465/$P465</f>
        <v>1</v>
      </c>
      <c r="Y465" s="54" t="n">
        <v>0</v>
      </c>
      <c r="Z465" s="57" t="n">
        <v>0</v>
      </c>
    </row>
    <row r="466" customFormat="false" ht="13.9" hidden="true" customHeight="true" outlineLevel="0" collapsed="false">
      <c r="E466" s="52"/>
      <c r="F466" s="86" t="s">
        <v>265</v>
      </c>
      <c r="G466" s="54" t="n">
        <v>1743.17</v>
      </c>
      <c r="H466" s="54" t="n">
        <v>0</v>
      </c>
      <c r="I466" s="54" t="n">
        <v>0</v>
      </c>
      <c r="J466" s="54" t="n">
        <v>0</v>
      </c>
      <c r="K466" s="54" t="n">
        <v>0</v>
      </c>
      <c r="L466" s="54"/>
      <c r="M466" s="54"/>
      <c r="N466" s="54"/>
      <c r="O466" s="54"/>
      <c r="P466" s="54" t="n">
        <f aca="false">K466+SUM(L466:O466)</f>
        <v>0</v>
      </c>
      <c r="Q466" s="54"/>
      <c r="R466" s="55" t="e">
        <f aca="false">Q466/$P466</f>
        <v>#DIV/0!</v>
      </c>
      <c r="S466" s="54"/>
      <c r="T466" s="55" t="e">
        <f aca="false">S466/$P466</f>
        <v>#DIV/0!</v>
      </c>
      <c r="U466" s="54"/>
      <c r="V466" s="55" t="e">
        <f aca="false">U466/$P466</f>
        <v>#DIV/0!</v>
      </c>
      <c r="W466" s="54"/>
      <c r="X466" s="56" t="e">
        <f aca="false">W466/$P466</f>
        <v>#DIV/0!</v>
      </c>
      <c r="Y466" s="108" t="n">
        <v>0</v>
      </c>
      <c r="Z466" s="111" t="n">
        <v>0</v>
      </c>
    </row>
    <row r="468" customFormat="false" ht="13.9" hidden="false" customHeight="true" outlineLevel="0" collapsed="false">
      <c r="D468" s="60" t="s">
        <v>266</v>
      </c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1"/>
      <c r="S468" s="60"/>
      <c r="T468" s="61"/>
      <c r="U468" s="60"/>
      <c r="V468" s="61"/>
      <c r="W468" s="60"/>
      <c r="X468" s="61"/>
      <c r="Y468" s="60"/>
      <c r="Z468" s="60"/>
    </row>
    <row r="469" customFormat="false" ht="13.9" hidden="false" customHeight="true" outlineLevel="0" collapsed="false">
      <c r="D469" s="7" t="s">
        <v>33</v>
      </c>
      <c r="E469" s="7" t="s">
        <v>34</v>
      </c>
      <c r="F469" s="7" t="s">
        <v>35</v>
      </c>
      <c r="G469" s="7" t="s">
        <v>1</v>
      </c>
      <c r="H469" s="7" t="s">
        <v>2</v>
      </c>
      <c r="I469" s="7" t="s">
        <v>3</v>
      </c>
      <c r="J469" s="7" t="s">
        <v>4</v>
      </c>
      <c r="K469" s="7" t="s">
        <v>5</v>
      </c>
      <c r="L469" s="7" t="s">
        <v>6</v>
      </c>
      <c r="M469" s="7" t="s">
        <v>7</v>
      </c>
      <c r="N469" s="7" t="s">
        <v>8</v>
      </c>
      <c r="O469" s="7" t="s">
        <v>9</v>
      </c>
      <c r="P469" s="7" t="s">
        <v>10</v>
      </c>
      <c r="Q469" s="7" t="s">
        <v>11</v>
      </c>
      <c r="R469" s="8" t="s">
        <v>12</v>
      </c>
      <c r="S469" s="7" t="s">
        <v>13</v>
      </c>
      <c r="T469" s="8" t="s">
        <v>14</v>
      </c>
      <c r="U469" s="7" t="s">
        <v>15</v>
      </c>
      <c r="V469" s="8" t="s">
        <v>16</v>
      </c>
      <c r="W469" s="7" t="s">
        <v>17</v>
      </c>
      <c r="X469" s="8" t="s">
        <v>18</v>
      </c>
      <c r="Y469" s="7" t="s">
        <v>19</v>
      </c>
      <c r="Z469" s="7" t="s">
        <v>20</v>
      </c>
    </row>
    <row r="470" customFormat="false" ht="13.9" hidden="false" customHeight="true" outlineLevel="0" collapsed="false">
      <c r="A470" s="1" t="n">
        <v>7</v>
      </c>
      <c r="B470" s="1" t="n">
        <v>1</v>
      </c>
      <c r="C470" s="1" t="n">
        <v>2</v>
      </c>
      <c r="D470" s="74" t="s">
        <v>262</v>
      </c>
      <c r="E470" s="10" t="n">
        <v>630</v>
      </c>
      <c r="F470" s="10" t="s">
        <v>129</v>
      </c>
      <c r="G470" s="11" t="n">
        <v>3789.87</v>
      </c>
      <c r="H470" s="11" t="n">
        <v>1703.4</v>
      </c>
      <c r="I470" s="11" t="n">
        <v>1700</v>
      </c>
      <c r="J470" s="11" t="n">
        <v>1936.95</v>
      </c>
      <c r="K470" s="11" t="n">
        <v>2500</v>
      </c>
      <c r="L470" s="11"/>
      <c r="M470" s="11"/>
      <c r="N470" s="11"/>
      <c r="O470" s="11" t="n">
        <v>-209</v>
      </c>
      <c r="P470" s="11" t="n">
        <f aca="false">K470+SUM(L470:O470)</f>
        <v>2291</v>
      </c>
      <c r="Q470" s="11" t="n">
        <v>0</v>
      </c>
      <c r="R470" s="12" t="n">
        <f aca="false">Q470/$P470</f>
        <v>0</v>
      </c>
      <c r="S470" s="11" t="n">
        <v>0</v>
      </c>
      <c r="T470" s="12" t="n">
        <f aca="false">S470/$P470</f>
        <v>0</v>
      </c>
      <c r="U470" s="11" t="n">
        <v>1517</v>
      </c>
      <c r="V470" s="12" t="n">
        <f aca="false">U470/$P470</f>
        <v>0.662156263640332</v>
      </c>
      <c r="W470" s="11" t="n">
        <v>1817</v>
      </c>
      <c r="X470" s="12" t="n">
        <f aca="false">W470/$P470</f>
        <v>0.793103448275862</v>
      </c>
      <c r="Y470" s="11" t="n">
        <f aca="false">K470</f>
        <v>2500</v>
      </c>
      <c r="Z470" s="11" t="n">
        <f aca="false">Y470</f>
        <v>2500</v>
      </c>
    </row>
    <row r="471" customFormat="false" ht="13.9" hidden="false" customHeight="true" outlineLevel="0" collapsed="false">
      <c r="A471" s="1" t="n">
        <v>7</v>
      </c>
      <c r="B471" s="1" t="n">
        <v>1</v>
      </c>
      <c r="C471" s="1" t="n">
        <v>2</v>
      </c>
      <c r="D471" s="67" t="s">
        <v>21</v>
      </c>
      <c r="E471" s="13" t="n">
        <v>41</v>
      </c>
      <c r="F471" s="13" t="s">
        <v>23</v>
      </c>
      <c r="G471" s="14" t="n">
        <f aca="false">SUM(G470:G470)</f>
        <v>3789.87</v>
      </c>
      <c r="H471" s="14" t="n">
        <f aca="false">SUM(H470:H470)</f>
        <v>1703.4</v>
      </c>
      <c r="I471" s="14" t="n">
        <f aca="false">SUM(I470:I470)</f>
        <v>1700</v>
      </c>
      <c r="J471" s="14" t="n">
        <f aca="false">SUM(J470:J470)</f>
        <v>1936.95</v>
      </c>
      <c r="K471" s="14" t="n">
        <f aca="false">SUM(K470:K470)</f>
        <v>2500</v>
      </c>
      <c r="L471" s="14" t="n">
        <f aca="false">SUM(L470:L470)</f>
        <v>0</v>
      </c>
      <c r="M471" s="14" t="n">
        <f aca="false">SUM(M470:M470)</f>
        <v>0</v>
      </c>
      <c r="N471" s="14" t="n">
        <f aca="false">SUM(N470:N470)</f>
        <v>0</v>
      </c>
      <c r="O471" s="14" t="n">
        <f aca="false">SUM(O470:O470)</f>
        <v>-209</v>
      </c>
      <c r="P471" s="14" t="n">
        <f aca="false">SUM(P470:P470)</f>
        <v>2291</v>
      </c>
      <c r="Q471" s="14" t="n">
        <f aca="false">SUM(Q470:Q470)</f>
        <v>0</v>
      </c>
      <c r="R471" s="15" t="n">
        <f aca="false">Q471/$P471</f>
        <v>0</v>
      </c>
      <c r="S471" s="14" t="n">
        <f aca="false">SUM(S470:S470)</f>
        <v>0</v>
      </c>
      <c r="T471" s="15" t="n">
        <f aca="false">S471/$P471</f>
        <v>0</v>
      </c>
      <c r="U471" s="14" t="n">
        <f aca="false">SUM(U470:U470)</f>
        <v>1517</v>
      </c>
      <c r="V471" s="15" t="n">
        <f aca="false">U471/$P471</f>
        <v>0.662156263640332</v>
      </c>
      <c r="W471" s="14" t="n">
        <f aca="false">SUM(W470:W470)</f>
        <v>1817</v>
      </c>
      <c r="X471" s="15" t="n">
        <f aca="false">W471/$P471</f>
        <v>0.793103448275862</v>
      </c>
      <c r="Y471" s="14" t="n">
        <f aca="false">SUM(Y470:Y470)</f>
        <v>2500</v>
      </c>
      <c r="Z471" s="14" t="n">
        <f aca="false">SUM(Z470:Z470)</f>
        <v>2500</v>
      </c>
    </row>
    <row r="473" customFormat="false" ht="13.9" hidden="true" customHeight="true" outlineLevel="0" collapsed="false">
      <c r="E473" s="39" t="s">
        <v>57</v>
      </c>
      <c r="F473" s="17" t="s">
        <v>267</v>
      </c>
      <c r="G473" s="40" t="n">
        <v>303.2</v>
      </c>
      <c r="H473" s="40" t="n">
        <v>14.4</v>
      </c>
      <c r="I473" s="40" t="n">
        <v>0</v>
      </c>
      <c r="J473" s="40" t="n">
        <v>0</v>
      </c>
      <c r="K473" s="40" t="n">
        <v>0</v>
      </c>
      <c r="L473" s="40"/>
      <c r="M473" s="40"/>
      <c r="N473" s="40"/>
      <c r="O473" s="40"/>
      <c r="P473" s="40" t="n">
        <f aca="false">K473+SUM(L473:O473)</f>
        <v>0</v>
      </c>
      <c r="Q473" s="40"/>
      <c r="R473" s="41" t="e">
        <f aca="false">Q473/$P473</f>
        <v>#DIV/0!</v>
      </c>
      <c r="S473" s="40"/>
      <c r="T473" s="41" t="e">
        <f aca="false">S473/$P473</f>
        <v>#DIV/0!</v>
      </c>
      <c r="U473" s="40"/>
      <c r="V473" s="41" t="e">
        <f aca="false">U473/$P473</f>
        <v>#DIV/0!</v>
      </c>
      <c r="W473" s="40"/>
      <c r="X473" s="42" t="e">
        <f aca="false">W473/$P473</f>
        <v>#DIV/0!</v>
      </c>
      <c r="Y473" s="108" t="n">
        <f aca="false">K473</f>
        <v>0</v>
      </c>
      <c r="Z473" s="111" t="n">
        <f aca="false">Y473</f>
        <v>0</v>
      </c>
    </row>
    <row r="474" customFormat="false" ht="13.9" hidden="false" customHeight="true" outlineLevel="0" collapsed="false">
      <c r="E474" s="100" t="s">
        <v>57</v>
      </c>
      <c r="F474" s="106" t="s">
        <v>268</v>
      </c>
      <c r="G474" s="108" t="n">
        <v>3593.07</v>
      </c>
      <c r="H474" s="108" t="n">
        <v>1689</v>
      </c>
      <c r="I474" s="108" t="n">
        <v>1700</v>
      </c>
      <c r="J474" s="108" t="n">
        <v>1936.95</v>
      </c>
      <c r="K474" s="108" t="n">
        <v>2500</v>
      </c>
      <c r="L474" s="108"/>
      <c r="M474" s="108"/>
      <c r="N474" s="108"/>
      <c r="O474" s="108" t="n">
        <v>-209</v>
      </c>
      <c r="P474" s="108" t="n">
        <f aca="false">K474+SUM(L474:O474)</f>
        <v>2291</v>
      </c>
      <c r="Q474" s="108" t="n">
        <v>0</v>
      </c>
      <c r="R474" s="109" t="n">
        <f aca="false">Q474/$P474</f>
        <v>0</v>
      </c>
      <c r="S474" s="108" t="n">
        <v>0</v>
      </c>
      <c r="T474" s="109" t="n">
        <f aca="false">S474/$P474</f>
        <v>0</v>
      </c>
      <c r="U474" s="108" t="n">
        <v>1517</v>
      </c>
      <c r="V474" s="109" t="n">
        <f aca="false">U474/$P474</f>
        <v>0.662156263640332</v>
      </c>
      <c r="W474" s="108" t="n">
        <v>1817</v>
      </c>
      <c r="X474" s="110" t="n">
        <f aca="false">W474/$P474</f>
        <v>0.793103448275862</v>
      </c>
      <c r="Y474" s="108" t="n">
        <f aca="false">K474</f>
        <v>2500</v>
      </c>
      <c r="Z474" s="111" t="n">
        <f aca="false">Y474</f>
        <v>2500</v>
      </c>
    </row>
    <row r="476" customFormat="false" ht="13.9" hidden="false" customHeight="true" outlineLevel="0" collapsed="false">
      <c r="D476" s="28" t="s">
        <v>269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9"/>
      <c r="S476" s="28"/>
      <c r="T476" s="29"/>
      <c r="U476" s="28"/>
      <c r="V476" s="29"/>
      <c r="W476" s="28"/>
      <c r="X476" s="29"/>
      <c r="Y476" s="28"/>
      <c r="Z476" s="28"/>
    </row>
    <row r="477" customFormat="false" ht="13.9" hidden="false" customHeight="true" outlineLevel="0" collapsed="false">
      <c r="D477" s="7" t="s">
        <v>33</v>
      </c>
      <c r="E477" s="7" t="s">
        <v>34</v>
      </c>
      <c r="F477" s="7" t="s">
        <v>35</v>
      </c>
      <c r="G477" s="7" t="s">
        <v>1</v>
      </c>
      <c r="H477" s="7" t="s">
        <v>2</v>
      </c>
      <c r="I477" s="7" t="s">
        <v>3</v>
      </c>
      <c r="J477" s="7" t="s">
        <v>4</v>
      </c>
      <c r="K477" s="7" t="s">
        <v>5</v>
      </c>
      <c r="L477" s="7" t="s">
        <v>6</v>
      </c>
      <c r="M477" s="7" t="s">
        <v>7</v>
      </c>
      <c r="N477" s="7" t="s">
        <v>8</v>
      </c>
      <c r="O477" s="7" t="s">
        <v>9</v>
      </c>
      <c r="P477" s="7" t="s">
        <v>10</v>
      </c>
      <c r="Q477" s="7" t="s">
        <v>11</v>
      </c>
      <c r="R477" s="8" t="s">
        <v>12</v>
      </c>
      <c r="S477" s="7" t="s">
        <v>13</v>
      </c>
      <c r="T477" s="8" t="s">
        <v>14</v>
      </c>
      <c r="U477" s="7" t="s">
        <v>15</v>
      </c>
      <c r="V477" s="8" t="s">
        <v>16</v>
      </c>
      <c r="W477" s="7" t="s">
        <v>17</v>
      </c>
      <c r="X477" s="8" t="s">
        <v>18</v>
      </c>
      <c r="Y477" s="7" t="s">
        <v>19</v>
      </c>
      <c r="Z477" s="7" t="s">
        <v>20</v>
      </c>
    </row>
    <row r="478" customFormat="false" ht="13.9" hidden="false" customHeight="true" outlineLevel="0" collapsed="false">
      <c r="A478" s="1" t="n">
        <v>7</v>
      </c>
      <c r="B478" s="1" t="n">
        <v>2</v>
      </c>
      <c r="D478" s="38" t="s">
        <v>270</v>
      </c>
      <c r="E478" s="10" t="n">
        <v>640</v>
      </c>
      <c r="F478" s="10" t="s">
        <v>130</v>
      </c>
      <c r="G478" s="11" t="n">
        <v>1248.68</v>
      </c>
      <c r="H478" s="33" t="n">
        <v>4587.31</v>
      </c>
      <c r="I478" s="33" t="n">
        <v>4588</v>
      </c>
      <c r="J478" s="33" t="n">
        <v>7179.6</v>
      </c>
      <c r="K478" s="33" t="n">
        <f aca="false">príjmy!H98</f>
        <v>7172</v>
      </c>
      <c r="L478" s="33"/>
      <c r="M478" s="33"/>
      <c r="N478" s="33"/>
      <c r="O478" s="33" t="n">
        <v>707</v>
      </c>
      <c r="P478" s="33" t="n">
        <f aca="false">K478+SUM(L478:O478)</f>
        <v>7879</v>
      </c>
      <c r="Q478" s="33" t="n">
        <v>1736.38</v>
      </c>
      <c r="R478" s="34" t="n">
        <f aca="false">Q478/$P478</f>
        <v>0.220380758979566</v>
      </c>
      <c r="S478" s="33" t="n">
        <v>4396.62</v>
      </c>
      <c r="T478" s="34" t="n">
        <f aca="false">S478/$P478</f>
        <v>0.55801751491306</v>
      </c>
      <c r="U478" s="33" t="n">
        <v>6203.94</v>
      </c>
      <c r="V478" s="34" t="n">
        <f aca="false">U478/$P478</f>
        <v>0.787401954562762</v>
      </c>
      <c r="W478" s="33" t="n">
        <v>7865.27</v>
      </c>
      <c r="X478" s="34" t="n">
        <f aca="false">W478/$P478</f>
        <v>0.998257393070187</v>
      </c>
      <c r="Y478" s="11" t="n">
        <f aca="false">K478</f>
        <v>7172</v>
      </c>
      <c r="Z478" s="11" t="n">
        <f aca="false">Y478</f>
        <v>7172</v>
      </c>
    </row>
    <row r="479" customFormat="false" ht="13.9" hidden="false" customHeight="true" outlineLevel="0" collapsed="false">
      <c r="A479" s="1" t="n">
        <v>7</v>
      </c>
      <c r="B479" s="1" t="n">
        <v>2</v>
      </c>
      <c r="D479" s="119" t="s">
        <v>271</v>
      </c>
      <c r="E479" s="10" t="n">
        <v>630</v>
      </c>
      <c r="F479" s="10" t="s">
        <v>129</v>
      </c>
      <c r="G479" s="11" t="n">
        <v>6055.2</v>
      </c>
      <c r="H479" s="33" t="n">
        <v>13994.4</v>
      </c>
      <c r="I479" s="33" t="n">
        <v>22229</v>
      </c>
      <c r="J479" s="33" t="n">
        <v>22228.8</v>
      </c>
      <c r="K479" s="33" t="n">
        <v>0</v>
      </c>
      <c r="L479" s="33" t="n">
        <v>30899</v>
      </c>
      <c r="M479" s="33"/>
      <c r="N479" s="33"/>
      <c r="O479" s="33"/>
      <c r="P479" s="33" t="n">
        <f aca="false">K479+SUM(L479:O479)</f>
        <v>30899</v>
      </c>
      <c r="Q479" s="33" t="n">
        <v>30899.4</v>
      </c>
      <c r="R479" s="34" t="n">
        <f aca="false">Q479/$P479</f>
        <v>1.00001294540276</v>
      </c>
      <c r="S479" s="33" t="n">
        <v>30899.4</v>
      </c>
      <c r="T479" s="34" t="n">
        <f aca="false">S479/$P479</f>
        <v>1.00001294540276</v>
      </c>
      <c r="U479" s="33" t="n">
        <v>30899.4</v>
      </c>
      <c r="V479" s="34" t="n">
        <f aca="false">U479/$P479</f>
        <v>1.00001294540276</v>
      </c>
      <c r="W479" s="33" t="n">
        <v>30899.4</v>
      </c>
      <c r="X479" s="34" t="n">
        <f aca="false">W479/$P479</f>
        <v>1.00001294540276</v>
      </c>
      <c r="Y479" s="11" t="n">
        <v>0</v>
      </c>
      <c r="Z479" s="11" t="n">
        <f aca="false">Y479</f>
        <v>0</v>
      </c>
    </row>
    <row r="480" customFormat="false" ht="13.9" hidden="false" customHeight="true" outlineLevel="0" collapsed="false">
      <c r="D480" s="119" t="s">
        <v>271</v>
      </c>
      <c r="E480" s="10" t="n">
        <v>640</v>
      </c>
      <c r="F480" s="10" t="s">
        <v>130</v>
      </c>
      <c r="G480" s="11" t="n">
        <v>0</v>
      </c>
      <c r="H480" s="33" t="n">
        <v>0</v>
      </c>
      <c r="I480" s="33" t="n">
        <v>0</v>
      </c>
      <c r="J480" s="33" t="n">
        <v>0</v>
      </c>
      <c r="K480" s="33" t="n">
        <v>0</v>
      </c>
      <c r="L480" s="33"/>
      <c r="M480" s="33" t="n">
        <v>5982</v>
      </c>
      <c r="N480" s="33" t="n">
        <v>10440</v>
      </c>
      <c r="O480" s="33" t="n">
        <v>6132</v>
      </c>
      <c r="P480" s="33" t="n">
        <f aca="false">K480+SUM(L480:O480)</f>
        <v>22554</v>
      </c>
      <c r="Q480" s="33" t="n">
        <v>0</v>
      </c>
      <c r="R480" s="34" t="n">
        <f aca="false">Q480/$P480</f>
        <v>0</v>
      </c>
      <c r="S480" s="33" t="n">
        <v>0</v>
      </c>
      <c r="T480" s="34" t="n">
        <f aca="false">S480/$P480</f>
        <v>0</v>
      </c>
      <c r="U480" s="33" t="n">
        <v>16421.5</v>
      </c>
      <c r="V480" s="34" t="n">
        <f aca="false">U480/$P480</f>
        <v>0.728097011616565</v>
      </c>
      <c r="W480" s="33" t="n">
        <v>22985.5</v>
      </c>
      <c r="X480" s="34" t="n">
        <f aca="false">W480/$P480</f>
        <v>1.01913186131063</v>
      </c>
      <c r="Y480" s="11"/>
      <c r="Z480" s="11"/>
    </row>
    <row r="481" customFormat="false" ht="13.9" hidden="false" customHeight="true" outlineLevel="0" collapsed="false">
      <c r="A481" s="1" t="n">
        <v>7</v>
      </c>
      <c r="B481" s="1" t="n">
        <v>2</v>
      </c>
      <c r="D481" s="75" t="s">
        <v>21</v>
      </c>
      <c r="E481" s="35" t="n">
        <v>111</v>
      </c>
      <c r="F481" s="35" t="s">
        <v>132</v>
      </c>
      <c r="G481" s="36" t="n">
        <f aca="false">SUM(G478:G480)</f>
        <v>7303.88</v>
      </c>
      <c r="H481" s="36" t="n">
        <f aca="false">SUM(H478:H480)</f>
        <v>18581.71</v>
      </c>
      <c r="I481" s="36" t="n">
        <f aca="false">SUM(I478:I480)</f>
        <v>26817</v>
      </c>
      <c r="J481" s="36" t="n">
        <f aca="false">SUM(J478:J480)</f>
        <v>29408.4</v>
      </c>
      <c r="K481" s="36" t="n">
        <f aca="false">SUM(K478:K480)</f>
        <v>7172</v>
      </c>
      <c r="L481" s="36" t="n">
        <f aca="false">SUM(L478:L480)</f>
        <v>30899</v>
      </c>
      <c r="M481" s="36" t="n">
        <f aca="false">SUM(M478:M480)</f>
        <v>5982</v>
      </c>
      <c r="N481" s="36" t="n">
        <f aca="false">SUM(N478:N480)</f>
        <v>10440</v>
      </c>
      <c r="O481" s="36" t="n">
        <f aca="false">SUM(O478:O480)</f>
        <v>6839</v>
      </c>
      <c r="P481" s="36" t="n">
        <f aca="false">SUM(P478:P480)</f>
        <v>61332</v>
      </c>
      <c r="Q481" s="36" t="n">
        <f aca="false">SUM(Q478:Q480)</f>
        <v>32635.78</v>
      </c>
      <c r="R481" s="37" t="n">
        <f aca="false">Q481/$P481</f>
        <v>0.532116676449488</v>
      </c>
      <c r="S481" s="36" t="n">
        <f aca="false">SUM(S478:S480)</f>
        <v>35296.02</v>
      </c>
      <c r="T481" s="37" t="n">
        <f aca="false">S481/$P481</f>
        <v>0.575491097632557</v>
      </c>
      <c r="U481" s="36" t="n">
        <f aca="false">SUM(U478:U480)</f>
        <v>53524.84</v>
      </c>
      <c r="V481" s="37" t="n">
        <f aca="false">U481/$P481</f>
        <v>0.872706580577839</v>
      </c>
      <c r="W481" s="36" t="n">
        <f aca="false">SUM(W478:W480)</f>
        <v>61750.17</v>
      </c>
      <c r="X481" s="37" t="n">
        <f aca="false">W481/$P481</f>
        <v>1.00681813735081</v>
      </c>
      <c r="Y481" s="36" t="n">
        <f aca="false">SUM(Y478:Y479)</f>
        <v>7172</v>
      </c>
      <c r="Z481" s="36" t="n">
        <f aca="false">SUM(Z478:Z479)</f>
        <v>7172</v>
      </c>
    </row>
    <row r="482" customFormat="false" ht="13.9" hidden="true" customHeight="true" outlineLevel="0" collapsed="false">
      <c r="A482" s="1" t="n">
        <v>7</v>
      </c>
      <c r="B482" s="1" t="n">
        <v>2</v>
      </c>
      <c r="D482" s="120" t="s">
        <v>270</v>
      </c>
      <c r="E482" s="10" t="n">
        <v>630</v>
      </c>
      <c r="F482" s="10" t="s">
        <v>129</v>
      </c>
      <c r="G482" s="11" t="n">
        <v>458.88</v>
      </c>
      <c r="H482" s="11" t="n">
        <v>0</v>
      </c>
      <c r="I482" s="11" t="n">
        <v>0</v>
      </c>
      <c r="J482" s="11" t="n">
        <v>0</v>
      </c>
      <c r="K482" s="11" t="n">
        <v>0</v>
      </c>
      <c r="L482" s="11"/>
      <c r="M482" s="11"/>
      <c r="N482" s="11"/>
      <c r="O482" s="11"/>
      <c r="P482" s="11" t="n">
        <f aca="false">K482+SUM(L482:O482)</f>
        <v>0</v>
      </c>
      <c r="Q482" s="11" t="n">
        <v>0</v>
      </c>
      <c r="R482" s="12" t="e">
        <f aca="false">Q482/$P482</f>
        <v>#DIV/0!</v>
      </c>
      <c r="S482" s="11" t="n">
        <v>0</v>
      </c>
      <c r="T482" s="12" t="e">
        <f aca="false">S482/$P482</f>
        <v>#DIV/0!</v>
      </c>
      <c r="U482" s="11" t="n">
        <v>0</v>
      </c>
      <c r="V482" s="12" t="e">
        <f aca="false">U482/$P482</f>
        <v>#DIV/0!</v>
      </c>
      <c r="W482" s="11" t="n">
        <v>0</v>
      </c>
      <c r="X482" s="12" t="e">
        <f aca="false">W482/$P482</f>
        <v>#DIV/0!</v>
      </c>
      <c r="Y482" s="11" t="n">
        <f aca="false">K482</f>
        <v>0</v>
      </c>
      <c r="Z482" s="11" t="n">
        <f aca="false">Y482</f>
        <v>0</v>
      </c>
    </row>
    <row r="483" customFormat="false" ht="13.9" hidden="false" customHeight="true" outlineLevel="0" collapsed="false">
      <c r="A483" s="1" t="n">
        <v>7</v>
      </c>
      <c r="B483" s="1" t="n">
        <v>2</v>
      </c>
      <c r="D483" s="120" t="s">
        <v>270</v>
      </c>
      <c r="E483" s="10" t="n">
        <v>640</v>
      </c>
      <c r="F483" s="10" t="s">
        <v>130</v>
      </c>
      <c r="G483" s="11" t="n">
        <v>3700</v>
      </c>
      <c r="H483" s="11" t="n">
        <v>1200</v>
      </c>
      <c r="I483" s="11" t="n">
        <v>3800</v>
      </c>
      <c r="J483" s="11" t="n">
        <v>4400</v>
      </c>
      <c r="K483" s="11" t="n">
        <v>4400</v>
      </c>
      <c r="L483" s="11"/>
      <c r="M483" s="11"/>
      <c r="N483" s="11"/>
      <c r="O483" s="11"/>
      <c r="P483" s="11" t="n">
        <f aca="false">K483+SUM(L483:O483)</f>
        <v>4400</v>
      </c>
      <c r="Q483" s="11" t="n">
        <v>1500</v>
      </c>
      <c r="R483" s="12" t="n">
        <f aca="false">Q483/$P483</f>
        <v>0.340909090909091</v>
      </c>
      <c r="S483" s="11" t="n">
        <v>2100</v>
      </c>
      <c r="T483" s="12" t="n">
        <f aca="false">S483/$P483</f>
        <v>0.477272727272727</v>
      </c>
      <c r="U483" s="11" t="n">
        <v>3000</v>
      </c>
      <c r="V483" s="12" t="n">
        <f aca="false">U483/$P483</f>
        <v>0.681818181818182</v>
      </c>
      <c r="W483" s="11" t="n">
        <v>3600</v>
      </c>
      <c r="X483" s="12" t="n">
        <f aca="false">W483/$P483</f>
        <v>0.818181818181818</v>
      </c>
      <c r="Y483" s="11" t="n">
        <f aca="false">K483</f>
        <v>4400</v>
      </c>
      <c r="Z483" s="11" t="n">
        <f aca="false">Y483</f>
        <v>4400</v>
      </c>
    </row>
    <row r="484" customFormat="false" ht="13.9" hidden="true" customHeight="true" outlineLevel="0" collapsed="false">
      <c r="A484" s="1" t="n">
        <v>7</v>
      </c>
      <c r="B484" s="1" t="n">
        <v>2</v>
      </c>
      <c r="D484" s="119" t="s">
        <v>271</v>
      </c>
      <c r="E484" s="10" t="n">
        <v>640</v>
      </c>
      <c r="F484" s="10" t="s">
        <v>130</v>
      </c>
      <c r="G484" s="11" t="n">
        <v>1100</v>
      </c>
      <c r="H484" s="11" t="n">
        <v>0</v>
      </c>
      <c r="I484" s="11" t="n">
        <v>0</v>
      </c>
      <c r="J484" s="11" t="n">
        <v>0</v>
      </c>
      <c r="K484" s="11" t="n">
        <v>0</v>
      </c>
      <c r="L484" s="11"/>
      <c r="M484" s="11"/>
      <c r="N484" s="11"/>
      <c r="O484" s="11"/>
      <c r="P484" s="11" t="n">
        <f aca="false">K484+SUM(L484:O484)</f>
        <v>0</v>
      </c>
      <c r="Q484" s="11" t="n">
        <v>0</v>
      </c>
      <c r="R484" s="12" t="e">
        <f aca="false">Q484/$P484</f>
        <v>#DIV/0!</v>
      </c>
      <c r="S484" s="11" t="n">
        <v>0</v>
      </c>
      <c r="T484" s="12" t="e">
        <f aca="false">S484/$P484</f>
        <v>#DIV/0!</v>
      </c>
      <c r="U484" s="11" t="n">
        <v>0</v>
      </c>
      <c r="V484" s="12" t="e">
        <f aca="false">U484/$P484</f>
        <v>#DIV/0!</v>
      </c>
      <c r="W484" s="11" t="n">
        <v>0</v>
      </c>
      <c r="X484" s="12" t="e">
        <f aca="false">W484/$P484</f>
        <v>#DIV/0!</v>
      </c>
      <c r="Y484" s="11" t="n">
        <v>0</v>
      </c>
      <c r="Z484" s="11" t="n">
        <f aca="false">Y484</f>
        <v>0</v>
      </c>
    </row>
    <row r="485" customFormat="false" ht="13.9" hidden="false" customHeight="true" outlineLevel="0" collapsed="false">
      <c r="A485" s="1" t="n">
        <v>7</v>
      </c>
      <c r="B485" s="1" t="n">
        <v>2</v>
      </c>
      <c r="D485" s="75" t="s">
        <v>21</v>
      </c>
      <c r="E485" s="35" t="n">
        <v>41</v>
      </c>
      <c r="F485" s="35" t="s">
        <v>23</v>
      </c>
      <c r="G485" s="36" t="n">
        <f aca="false">SUM(G482:G484)</f>
        <v>5258.88</v>
      </c>
      <c r="H485" s="36" t="n">
        <f aca="false">SUM(H482:H484)</f>
        <v>1200</v>
      </c>
      <c r="I485" s="36" t="n">
        <f aca="false">SUM(I482:I484)</f>
        <v>3800</v>
      </c>
      <c r="J485" s="36" t="n">
        <f aca="false">SUM(J482:J484)</f>
        <v>4400</v>
      </c>
      <c r="K485" s="36" t="n">
        <f aca="false">SUM(K482:K484)</f>
        <v>4400</v>
      </c>
      <c r="L485" s="36" t="n">
        <f aca="false">SUM(L482:L484)</f>
        <v>0</v>
      </c>
      <c r="M485" s="36" t="n">
        <f aca="false">SUM(M482:M484)</f>
        <v>0</v>
      </c>
      <c r="N485" s="36" t="n">
        <f aca="false">SUM(N482:N484)</f>
        <v>0</v>
      </c>
      <c r="O485" s="36" t="n">
        <f aca="false">SUM(O482:O484)</f>
        <v>0</v>
      </c>
      <c r="P485" s="36" t="n">
        <f aca="false">SUM(P482:P484)</f>
        <v>4400</v>
      </c>
      <c r="Q485" s="36" t="n">
        <f aca="false">SUM(Q482:Q484)</f>
        <v>1500</v>
      </c>
      <c r="R485" s="37" t="n">
        <f aca="false">Q485/$P485</f>
        <v>0.340909090909091</v>
      </c>
      <c r="S485" s="36" t="n">
        <f aca="false">SUM(S482:S484)</f>
        <v>2100</v>
      </c>
      <c r="T485" s="37" t="n">
        <f aca="false">S485/$P485</f>
        <v>0.477272727272727</v>
      </c>
      <c r="U485" s="36" t="n">
        <f aca="false">SUM(U482:U484)</f>
        <v>3000</v>
      </c>
      <c r="V485" s="37" t="n">
        <f aca="false">U485/$P485</f>
        <v>0.681818181818182</v>
      </c>
      <c r="W485" s="36" t="n">
        <f aca="false">SUM(W482:W484)</f>
        <v>3600</v>
      </c>
      <c r="X485" s="37" t="n">
        <f aca="false">W485/$P485</f>
        <v>0.818181818181818</v>
      </c>
      <c r="Y485" s="36" t="n">
        <f aca="false">SUM(Y482:Y484)</f>
        <v>4400</v>
      </c>
      <c r="Z485" s="36" t="n">
        <f aca="false">SUM(Z482:Z484)</f>
        <v>4400</v>
      </c>
    </row>
    <row r="486" customFormat="false" ht="13.9" hidden="false" customHeight="true" outlineLevel="0" collapsed="false">
      <c r="A486" s="1" t="n">
        <v>7</v>
      </c>
      <c r="B486" s="1" t="n">
        <v>2</v>
      </c>
      <c r="D486" s="17"/>
      <c r="E486" s="18"/>
      <c r="F486" s="13" t="s">
        <v>122</v>
      </c>
      <c r="G486" s="14" t="n">
        <f aca="false">G481+G485</f>
        <v>12562.76</v>
      </c>
      <c r="H486" s="14" t="n">
        <f aca="false">H481+H485</f>
        <v>19781.71</v>
      </c>
      <c r="I486" s="14" t="n">
        <f aca="false">I481+I485</f>
        <v>30617</v>
      </c>
      <c r="J486" s="14" t="n">
        <f aca="false">J481+J485</f>
        <v>33808.4</v>
      </c>
      <c r="K486" s="14" t="n">
        <f aca="false">K481+K485</f>
        <v>11572</v>
      </c>
      <c r="L486" s="14" t="n">
        <f aca="false">L481+L485</f>
        <v>30899</v>
      </c>
      <c r="M486" s="14" t="n">
        <f aca="false">M481+M485</f>
        <v>5982</v>
      </c>
      <c r="N486" s="14" t="n">
        <f aca="false">N481+N485</f>
        <v>10440</v>
      </c>
      <c r="O486" s="14" t="n">
        <f aca="false">O481+O485</f>
        <v>6839</v>
      </c>
      <c r="P486" s="14" t="n">
        <f aca="false">P481+P485</f>
        <v>65732</v>
      </c>
      <c r="Q486" s="14" t="n">
        <f aca="false">Q481+Q485</f>
        <v>34135.78</v>
      </c>
      <c r="R486" s="15" t="n">
        <f aca="false">Q486/$P486</f>
        <v>0.519317531795777</v>
      </c>
      <c r="S486" s="14" t="n">
        <f aca="false">S481+S485</f>
        <v>37396.02</v>
      </c>
      <c r="T486" s="15" t="n">
        <f aca="false">S486/$P486</f>
        <v>0.568916509462667</v>
      </c>
      <c r="U486" s="14" t="n">
        <f aca="false">U481+U485</f>
        <v>56524.84</v>
      </c>
      <c r="V486" s="15" t="n">
        <f aca="false">U486/$P486</f>
        <v>0.859928801801254</v>
      </c>
      <c r="W486" s="14" t="n">
        <f aca="false">W481+W485</f>
        <v>65350.17</v>
      </c>
      <c r="X486" s="15" t="n">
        <f aca="false">W486/$P486</f>
        <v>0.994191109353131</v>
      </c>
      <c r="Y486" s="14" t="n">
        <f aca="false">Y481+Y485</f>
        <v>11572</v>
      </c>
      <c r="Z486" s="14" t="n">
        <f aca="false">Z481+Z485</f>
        <v>11572</v>
      </c>
    </row>
    <row r="488" customFormat="false" ht="13.9" hidden="false" customHeight="true" outlineLevel="0" collapsed="false">
      <c r="E488" s="100" t="s">
        <v>57</v>
      </c>
      <c r="F488" s="106" t="s">
        <v>272</v>
      </c>
      <c r="G488" s="107" t="n">
        <v>3700</v>
      </c>
      <c r="H488" s="108" t="n">
        <v>1200</v>
      </c>
      <c r="I488" s="108" t="n">
        <v>3800</v>
      </c>
      <c r="J488" s="108" t="n">
        <v>4400</v>
      </c>
      <c r="K488" s="108" t="n">
        <v>4400</v>
      </c>
      <c r="L488" s="108"/>
      <c r="M488" s="108"/>
      <c r="N488" s="108"/>
      <c r="O488" s="108"/>
      <c r="P488" s="108" t="n">
        <f aca="false">K488+SUM(L488:O488)</f>
        <v>4400</v>
      </c>
      <c r="Q488" s="108" t="n">
        <v>1500</v>
      </c>
      <c r="R488" s="109" t="n">
        <f aca="false">Q488/$P488</f>
        <v>0.340909090909091</v>
      </c>
      <c r="S488" s="108" t="n">
        <v>2100</v>
      </c>
      <c r="T488" s="109" t="n">
        <f aca="false">S488/$P488</f>
        <v>0.477272727272727</v>
      </c>
      <c r="U488" s="108" t="n">
        <v>3000</v>
      </c>
      <c r="V488" s="109" t="n">
        <f aca="false">U488/$P488</f>
        <v>0.681818181818182</v>
      </c>
      <c r="W488" s="108" t="n">
        <v>3600</v>
      </c>
      <c r="X488" s="110" t="n">
        <f aca="false">W488/$P488</f>
        <v>0.818181818181818</v>
      </c>
      <c r="Y488" s="108" t="n">
        <f aca="false">K488</f>
        <v>4400</v>
      </c>
      <c r="Z488" s="111" t="n">
        <f aca="false">Y488</f>
        <v>4400</v>
      </c>
    </row>
    <row r="490" customFormat="false" ht="13.9" hidden="false" customHeight="true" outlineLevel="0" collapsed="false">
      <c r="D490" s="19" t="s">
        <v>273</v>
      </c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20"/>
      <c r="S490" s="19"/>
      <c r="T490" s="20"/>
      <c r="U490" s="19"/>
      <c r="V490" s="20"/>
      <c r="W490" s="19"/>
      <c r="X490" s="20"/>
      <c r="Y490" s="19"/>
      <c r="Z490" s="19"/>
    </row>
    <row r="491" customFormat="false" ht="13.9" hidden="false" customHeight="true" outlineLevel="0" collapsed="false">
      <c r="D491" s="6"/>
      <c r="E491" s="6"/>
      <c r="F491" s="6"/>
      <c r="G491" s="7" t="s">
        <v>1</v>
      </c>
      <c r="H491" s="7" t="s">
        <v>2</v>
      </c>
      <c r="I491" s="7" t="s">
        <v>3</v>
      </c>
      <c r="J491" s="7" t="s">
        <v>4</v>
      </c>
      <c r="K491" s="7" t="s">
        <v>5</v>
      </c>
      <c r="L491" s="7" t="s">
        <v>6</v>
      </c>
      <c r="M491" s="7" t="s">
        <v>7</v>
      </c>
      <c r="N491" s="7" t="s">
        <v>8</v>
      </c>
      <c r="O491" s="7" t="s">
        <v>9</v>
      </c>
      <c r="P491" s="7" t="s">
        <v>10</v>
      </c>
      <c r="Q491" s="7" t="s">
        <v>11</v>
      </c>
      <c r="R491" s="8" t="s">
        <v>12</v>
      </c>
      <c r="S491" s="7" t="s">
        <v>13</v>
      </c>
      <c r="T491" s="8" t="s">
        <v>14</v>
      </c>
      <c r="U491" s="7" t="s">
        <v>15</v>
      </c>
      <c r="V491" s="8" t="s">
        <v>16</v>
      </c>
      <c r="W491" s="7" t="s">
        <v>17</v>
      </c>
      <c r="X491" s="8" t="s">
        <v>18</v>
      </c>
      <c r="Y491" s="7" t="s">
        <v>19</v>
      </c>
      <c r="Z491" s="7" t="s">
        <v>20</v>
      </c>
    </row>
    <row r="492" customFormat="false" ht="13.9" hidden="false" customHeight="true" outlineLevel="0" collapsed="false">
      <c r="A492" s="1" t="n">
        <v>8</v>
      </c>
      <c r="D492" s="21" t="s">
        <v>21</v>
      </c>
      <c r="E492" s="22" t="n">
        <v>111</v>
      </c>
      <c r="F492" s="22" t="s">
        <v>47</v>
      </c>
      <c r="G492" s="23" t="n">
        <f aca="false">G514+G539+G551+G566+G579</f>
        <v>999117.22</v>
      </c>
      <c r="H492" s="23" t="n">
        <f aca="false">H514+H539+H551+H566+H579</f>
        <v>0</v>
      </c>
      <c r="I492" s="23" t="n">
        <f aca="false">I514+I539+I551+I566+I579</f>
        <v>500000</v>
      </c>
      <c r="J492" s="23" t="n">
        <f aca="false">J514+J539+J551+J566+J579</f>
        <v>89115.6</v>
      </c>
      <c r="K492" s="23" t="n">
        <f aca="false">K514+K539+K551+K566+K579</f>
        <v>366765</v>
      </c>
      <c r="L492" s="23" t="n">
        <f aca="false">L514+L539+L551+L566+L579</f>
        <v>0</v>
      </c>
      <c r="M492" s="23" t="n">
        <f aca="false">M514+M539+M551+M566+M579</f>
        <v>0</v>
      </c>
      <c r="N492" s="23" t="n">
        <f aca="false">N514+N539+N551+N566+N579</f>
        <v>0</v>
      </c>
      <c r="O492" s="23" t="n">
        <f aca="false">O514+O539+O551+O566+O579</f>
        <v>-9490</v>
      </c>
      <c r="P492" s="23" t="n">
        <f aca="false">P514+P539+P551+P566+P579</f>
        <v>190577</v>
      </c>
      <c r="Q492" s="23" t="n">
        <f aca="false">Q514+Q539+Q551+Q566+Q579</f>
        <v>10884.4</v>
      </c>
      <c r="R492" s="24" t="n">
        <f aca="false">Q492/$P492</f>
        <v>0.0571128730119584</v>
      </c>
      <c r="S492" s="23" t="n">
        <f aca="false">S514+S539+S551+S566+S579</f>
        <v>122504.22</v>
      </c>
      <c r="T492" s="24" t="n">
        <f aca="false">S492/$P492</f>
        <v>0.642806949422018</v>
      </c>
      <c r="U492" s="23" t="n">
        <f aca="false">U514+U539+U551+U566+U579</f>
        <v>177787.28</v>
      </c>
      <c r="V492" s="24" t="n">
        <f aca="false">U492/$P492</f>
        <v>0.93288948823835</v>
      </c>
      <c r="W492" s="23" t="n">
        <f aca="false">W514+W539+W551+W566+W579</f>
        <v>190577.56</v>
      </c>
      <c r="X492" s="24" t="n">
        <f aca="false">W492/$P492</f>
        <v>1.00000293844483</v>
      </c>
      <c r="Y492" s="23" t="n">
        <f aca="false">Y514+Y539+Y551+Y566+Y579</f>
        <v>0</v>
      </c>
      <c r="Z492" s="23" t="n">
        <f aca="false">Z514+Z539+Z551+Z566+Z579</f>
        <v>0</v>
      </c>
    </row>
    <row r="493" customFormat="false" ht="13.9" hidden="false" customHeight="true" outlineLevel="0" collapsed="false">
      <c r="A493" s="1" t="n">
        <v>8</v>
      </c>
      <c r="D493" s="21"/>
      <c r="E493" s="22" t="n">
        <v>41</v>
      </c>
      <c r="F493" s="22" t="s">
        <v>23</v>
      </c>
      <c r="G493" s="23" t="n">
        <f aca="false">G499+G515+G528+G540+G552+G567+G580+G590</f>
        <v>237113.46</v>
      </c>
      <c r="H493" s="23" t="n">
        <f aca="false">H499+H515+H528+H540+H552+H567+H580+H590</f>
        <v>137834.32</v>
      </c>
      <c r="I493" s="23" t="n">
        <f aca="false">I499+I515+I528+I540+I552+I567+I580+I590</f>
        <v>1129978</v>
      </c>
      <c r="J493" s="23" t="n">
        <f aca="false">J499+J515+J528+J540+J552+J567+J580+J590</f>
        <v>908945.93</v>
      </c>
      <c r="K493" s="23" t="n">
        <f aca="false">K499+K515+K528+K540+K552+K567+K580+K590</f>
        <v>932682</v>
      </c>
      <c r="L493" s="23" t="n">
        <f aca="false">L499+L515+L528+L540+L552+L567+L580+L590</f>
        <v>-1085</v>
      </c>
      <c r="M493" s="23" t="n">
        <f aca="false">M499+M515+M528+M540+M552+M567+M580+M590</f>
        <v>-46621</v>
      </c>
      <c r="N493" s="23" t="n">
        <f aca="false">N499+N515+N528+N540+N552+N567+N580+N590</f>
        <v>-20771</v>
      </c>
      <c r="O493" s="23" t="n">
        <f aca="false">O499+O515+O528+O540+O552+O567+O580+O590</f>
        <v>-21379</v>
      </c>
      <c r="P493" s="23" t="n">
        <f aca="false">P499+P515+P528+P540+P552+P567+P580+P590</f>
        <v>1009524</v>
      </c>
      <c r="Q493" s="23" t="n">
        <f aca="false">Q499+Q515+Q528+Q540+Q552+Q567+Q580+Q590</f>
        <v>80528.96</v>
      </c>
      <c r="R493" s="24" t="n">
        <f aca="false">Q493/$P493</f>
        <v>0.0797692377793891</v>
      </c>
      <c r="S493" s="23" t="n">
        <f aca="false">S499+S515+S528+S540+S552+S567+S580+S590</f>
        <v>310144.5</v>
      </c>
      <c r="T493" s="24" t="n">
        <f aca="false">S493/$P493</f>
        <v>0.307218550524802</v>
      </c>
      <c r="U493" s="23" t="n">
        <f aca="false">U499+U515+U528+U540+U552+U567+U580+U590</f>
        <v>658721.98</v>
      </c>
      <c r="V493" s="24" t="n">
        <f aca="false">U493/$P493</f>
        <v>0.652507498583491</v>
      </c>
      <c r="W493" s="23" t="n">
        <f aca="false">W499+W515+W528+W540+W552+W567+W580+W590</f>
        <v>776952.59</v>
      </c>
      <c r="X493" s="24" t="n">
        <f aca="false">W493/$P493</f>
        <v>0.769622703373075</v>
      </c>
      <c r="Y493" s="23" t="n">
        <f aca="false">Y499+Y515+Y528+Y540+Y552+Y567+Y580+Y590</f>
        <v>600593</v>
      </c>
      <c r="Z493" s="23" t="n">
        <f aca="false">Z499+Z515+Z528+Z540+Z552+Z567+Z580+Z590</f>
        <v>683907</v>
      </c>
    </row>
    <row r="494" customFormat="false" ht="13.9" hidden="true" customHeight="true" outlineLevel="0" collapsed="false">
      <c r="A494" s="1" t="n">
        <v>8</v>
      </c>
      <c r="D494" s="21"/>
      <c r="E494" s="22" t="n">
        <v>52</v>
      </c>
      <c r="F494" s="22" t="s">
        <v>28</v>
      </c>
      <c r="G494" s="23" t="n">
        <f aca="false">G500</f>
        <v>0</v>
      </c>
      <c r="H494" s="23" t="n">
        <f aca="false">H500</f>
        <v>0</v>
      </c>
      <c r="I494" s="23" t="n">
        <f aca="false">I500</f>
        <v>0</v>
      </c>
      <c r="J494" s="23" t="n">
        <f aca="false">J500</f>
        <v>0</v>
      </c>
      <c r="K494" s="23" t="n">
        <f aca="false">K500</f>
        <v>0</v>
      </c>
      <c r="L494" s="23" t="n">
        <f aca="false">L500</f>
        <v>0</v>
      </c>
      <c r="M494" s="23" t="n">
        <f aca="false">M500</f>
        <v>0</v>
      </c>
      <c r="N494" s="23" t="n">
        <f aca="false">N500</f>
        <v>0</v>
      </c>
      <c r="O494" s="23" t="n">
        <f aca="false">O500</f>
        <v>0</v>
      </c>
      <c r="P494" s="23" t="n">
        <f aca="false">P500</f>
        <v>0</v>
      </c>
      <c r="Q494" s="23" t="n">
        <f aca="false">Q500</f>
        <v>0</v>
      </c>
      <c r="R494" s="24" t="e">
        <f aca="false">Q494/$P494</f>
        <v>#DIV/0!</v>
      </c>
      <c r="S494" s="23" t="n">
        <f aca="false">S500</f>
        <v>0</v>
      </c>
      <c r="T494" s="24" t="e">
        <f aca="false">S494/$P494</f>
        <v>#DIV/0!</v>
      </c>
      <c r="U494" s="23" t="n">
        <f aca="false">U500</f>
        <v>0</v>
      </c>
      <c r="V494" s="24" t="e">
        <f aca="false">U494/$P494</f>
        <v>#DIV/0!</v>
      </c>
      <c r="W494" s="23" t="n">
        <f aca="false">W500</f>
        <v>0</v>
      </c>
      <c r="X494" s="24" t="e">
        <f aca="false">W494/$P494</f>
        <v>#DIV/0!</v>
      </c>
      <c r="Y494" s="23" t="n">
        <f aca="false">Y500</f>
        <v>0</v>
      </c>
      <c r="Z494" s="23" t="n">
        <f aca="false">Z500</f>
        <v>0</v>
      </c>
    </row>
    <row r="495" customFormat="false" ht="13.9" hidden="false" customHeight="true" outlineLevel="0" collapsed="false">
      <c r="A495" s="1" t="n">
        <v>8</v>
      </c>
      <c r="D495" s="17"/>
      <c r="E495" s="18"/>
      <c r="F495" s="25" t="s">
        <v>122</v>
      </c>
      <c r="G495" s="26" t="n">
        <f aca="false">SUM(G492:G494)</f>
        <v>1236230.68</v>
      </c>
      <c r="H495" s="26" t="n">
        <f aca="false">SUM(H492:H494)</f>
        <v>137834.32</v>
      </c>
      <c r="I495" s="26" t="n">
        <f aca="false">SUM(I492:I494)</f>
        <v>1629978</v>
      </c>
      <c r="J495" s="26" t="n">
        <f aca="false">SUM(J492:J494)</f>
        <v>998061.53</v>
      </c>
      <c r="K495" s="26" t="n">
        <f aca="false">SUM(K492:K494)</f>
        <v>1299447</v>
      </c>
      <c r="L495" s="26" t="n">
        <f aca="false">SUM(L492:L494)</f>
        <v>-1085</v>
      </c>
      <c r="M495" s="26" t="n">
        <f aca="false">SUM(M492:M494)</f>
        <v>-46621</v>
      </c>
      <c r="N495" s="26" t="n">
        <f aca="false">SUM(N492:N494)</f>
        <v>-20771</v>
      </c>
      <c r="O495" s="26" t="n">
        <f aca="false">SUM(O492:O494)</f>
        <v>-30869</v>
      </c>
      <c r="P495" s="26" t="n">
        <f aca="false">SUM(P492:P494)</f>
        <v>1200101</v>
      </c>
      <c r="Q495" s="26" t="n">
        <f aca="false">SUM(Q492:Q494)</f>
        <v>91413.36</v>
      </c>
      <c r="R495" s="27" t="n">
        <f aca="false">Q495/$P495</f>
        <v>0.0761713889081002</v>
      </c>
      <c r="S495" s="26" t="n">
        <f aca="false">SUM(S492:S494)</f>
        <v>432648.72</v>
      </c>
      <c r="T495" s="27" t="n">
        <f aca="false">S495/$P495</f>
        <v>0.360510257053365</v>
      </c>
      <c r="U495" s="26" t="n">
        <f aca="false">SUM(U492:U494)</f>
        <v>836509.26</v>
      </c>
      <c r="V495" s="27" t="n">
        <f aca="false">U495/$P495</f>
        <v>0.697032383107755</v>
      </c>
      <c r="W495" s="26" t="n">
        <f aca="false">SUM(W492:W494)</f>
        <v>967530.15</v>
      </c>
      <c r="X495" s="27" t="n">
        <f aca="false">W495/$P495</f>
        <v>0.806207269221507</v>
      </c>
      <c r="Y495" s="26" t="n">
        <f aca="false">SUM(Y492:Y494)</f>
        <v>600593</v>
      </c>
      <c r="Z495" s="26" t="n">
        <f aca="false">SUM(Z492:Z494)</f>
        <v>683907</v>
      </c>
    </row>
    <row r="497" customFormat="false" ht="13.9" hidden="false" customHeight="true" outlineLevel="0" collapsed="false">
      <c r="D497" s="28" t="s">
        <v>274</v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9"/>
      <c r="S497" s="28"/>
      <c r="T497" s="29"/>
      <c r="U497" s="28"/>
      <c r="V497" s="29"/>
      <c r="W497" s="28"/>
      <c r="X497" s="29"/>
      <c r="Y497" s="28"/>
      <c r="Z497" s="28"/>
    </row>
    <row r="498" customFormat="false" ht="13.9" hidden="false" customHeight="true" outlineLevel="0" collapsed="false">
      <c r="D498" s="121"/>
      <c r="E498" s="7"/>
      <c r="F498" s="7"/>
      <c r="G498" s="7" t="s">
        <v>1</v>
      </c>
      <c r="H498" s="7" t="s">
        <v>2</v>
      </c>
      <c r="I498" s="7" t="s">
        <v>3</v>
      </c>
      <c r="J498" s="7" t="s">
        <v>4</v>
      </c>
      <c r="K498" s="7" t="s">
        <v>5</v>
      </c>
      <c r="L498" s="7" t="s">
        <v>6</v>
      </c>
      <c r="M498" s="7" t="s">
        <v>7</v>
      </c>
      <c r="N498" s="7" t="s">
        <v>8</v>
      </c>
      <c r="O498" s="7" t="s">
        <v>9</v>
      </c>
      <c r="P498" s="7" t="s">
        <v>10</v>
      </c>
      <c r="Q498" s="7" t="s">
        <v>11</v>
      </c>
      <c r="R498" s="8" t="s">
        <v>12</v>
      </c>
      <c r="S498" s="7" t="s">
        <v>13</v>
      </c>
      <c r="T498" s="8" t="s">
        <v>14</v>
      </c>
      <c r="U498" s="7" t="s">
        <v>15</v>
      </c>
      <c r="V498" s="8" t="s">
        <v>16</v>
      </c>
      <c r="W498" s="7" t="s">
        <v>17</v>
      </c>
      <c r="X498" s="8" t="s">
        <v>18</v>
      </c>
      <c r="Y498" s="7" t="s">
        <v>19</v>
      </c>
      <c r="Z498" s="7" t="s">
        <v>20</v>
      </c>
    </row>
    <row r="499" customFormat="false" ht="13.9" hidden="false" customHeight="true" outlineLevel="0" collapsed="false">
      <c r="A499" s="1" t="n">
        <v>8</v>
      </c>
      <c r="B499" s="1" t="n">
        <v>1</v>
      </c>
      <c r="D499" s="30" t="s">
        <v>21</v>
      </c>
      <c r="E499" s="10" t="n">
        <v>41</v>
      </c>
      <c r="F499" s="10" t="s">
        <v>23</v>
      </c>
      <c r="G499" s="11" t="n">
        <f aca="false">G504+G508+G509</f>
        <v>14711.87</v>
      </c>
      <c r="H499" s="11" t="n">
        <f aca="false">H504+H508+H509</f>
        <v>2670</v>
      </c>
      <c r="I499" s="11" t="n">
        <f aca="false">I504+I508+I509+I510</f>
        <v>67374</v>
      </c>
      <c r="J499" s="11" t="n">
        <f aca="false">J504+J508+J509+J510</f>
        <v>57743.57</v>
      </c>
      <c r="K499" s="11" t="n">
        <f aca="false">K504+K508+K509+K510</f>
        <v>5000</v>
      </c>
      <c r="L499" s="11" t="n">
        <f aca="false">L504+L508</f>
        <v>0</v>
      </c>
      <c r="M499" s="11" t="n">
        <f aca="false">M504+M508</f>
        <v>0</v>
      </c>
      <c r="N499" s="11" t="n">
        <f aca="false">N504+N508+N509+N510</f>
        <v>-1137</v>
      </c>
      <c r="O499" s="11" t="n">
        <f aca="false">O504+O508</f>
        <v>0</v>
      </c>
      <c r="P499" s="11" t="n">
        <f aca="false">P504+P508+P509+P510</f>
        <v>3863</v>
      </c>
      <c r="Q499" s="11" t="n">
        <f aca="false">Q504+Q508+Q509+Q510</f>
        <v>0</v>
      </c>
      <c r="R499" s="12" t="n">
        <f aca="false">Q499/$P499</f>
        <v>0</v>
      </c>
      <c r="S499" s="11" t="n">
        <f aca="false">S504+S508+S509+S510</f>
        <v>0</v>
      </c>
      <c r="T499" s="12" t="n">
        <f aca="false">S499/$P499</f>
        <v>0</v>
      </c>
      <c r="U499" s="11" t="n">
        <f aca="false">U504+U508+U509+U510</f>
        <v>0</v>
      </c>
      <c r="V499" s="12" t="n">
        <f aca="false">U499/$P499</f>
        <v>0</v>
      </c>
      <c r="W499" s="11" t="n">
        <f aca="false">W504+W508+W509+W510</f>
        <v>3862.5</v>
      </c>
      <c r="X499" s="12" t="n">
        <f aca="false">W499/$P499</f>
        <v>0.999870566916904</v>
      </c>
      <c r="Y499" s="11" t="n">
        <v>0</v>
      </c>
      <c r="Z499" s="11" t="n">
        <f aca="false">Y499</f>
        <v>0</v>
      </c>
    </row>
    <row r="500" customFormat="false" ht="13.9" hidden="true" customHeight="true" outlineLevel="0" collapsed="false">
      <c r="A500" s="1" t="n">
        <v>8</v>
      </c>
      <c r="B500" s="1" t="n">
        <v>1</v>
      </c>
      <c r="D500" s="30"/>
      <c r="E500" s="10" t="n">
        <v>52</v>
      </c>
      <c r="F500" s="10" t="s">
        <v>28</v>
      </c>
      <c r="G500" s="11" t="n">
        <v>0</v>
      </c>
      <c r="H500" s="11" t="n">
        <v>0</v>
      </c>
      <c r="I500" s="11" t="n">
        <v>0</v>
      </c>
      <c r="J500" s="11" t="n">
        <v>0</v>
      </c>
      <c r="K500" s="11" t="n">
        <v>0</v>
      </c>
      <c r="L500" s="11" t="n">
        <v>0</v>
      </c>
      <c r="M500" s="11" t="n">
        <v>0</v>
      </c>
      <c r="N500" s="11" t="n">
        <v>0</v>
      </c>
      <c r="O500" s="11" t="n">
        <v>0</v>
      </c>
      <c r="P500" s="11" t="n">
        <v>0</v>
      </c>
      <c r="Q500" s="11" t="n">
        <v>0</v>
      </c>
      <c r="R500" s="12" t="e">
        <f aca="false">Q500/$P500</f>
        <v>#DIV/0!</v>
      </c>
      <c r="S500" s="11" t="n">
        <v>0</v>
      </c>
      <c r="T500" s="12" t="e">
        <f aca="false">S500/$P500</f>
        <v>#DIV/0!</v>
      </c>
      <c r="U500" s="11" t="n">
        <v>0</v>
      </c>
      <c r="V500" s="12" t="e">
        <f aca="false">U500/$P500</f>
        <v>#DIV/0!</v>
      </c>
      <c r="W500" s="11" t="n">
        <v>0</v>
      </c>
      <c r="X500" s="12" t="e">
        <f aca="false">W500/$P500</f>
        <v>#DIV/0!</v>
      </c>
      <c r="Y500" s="11" t="n">
        <v>0</v>
      </c>
      <c r="Z500" s="11" t="n">
        <f aca="false">Y500</f>
        <v>0</v>
      </c>
    </row>
    <row r="501" customFormat="false" ht="13.9" hidden="false" customHeight="true" outlineLevel="0" collapsed="false">
      <c r="A501" s="1" t="n">
        <v>8</v>
      </c>
      <c r="B501" s="1" t="n">
        <v>1</v>
      </c>
      <c r="D501" s="17"/>
      <c r="E501" s="18"/>
      <c r="F501" s="13" t="s">
        <v>122</v>
      </c>
      <c r="G501" s="14" t="n">
        <f aca="false">SUM(G499:G500)</f>
        <v>14711.87</v>
      </c>
      <c r="H501" s="14" t="n">
        <f aca="false">SUM(H499:H500)</f>
        <v>2670</v>
      </c>
      <c r="I501" s="14" t="n">
        <f aca="false">SUM(I499:I500)</f>
        <v>67374</v>
      </c>
      <c r="J501" s="14" t="n">
        <f aca="false">SUM(J499:J500)</f>
        <v>57743.57</v>
      </c>
      <c r="K501" s="14" t="n">
        <f aca="false">SUM(K499:K500)</f>
        <v>5000</v>
      </c>
      <c r="L501" s="14" t="n">
        <f aca="false">SUM(L499:L500)</f>
        <v>0</v>
      </c>
      <c r="M501" s="14" t="n">
        <f aca="false">SUM(M499:M500)</f>
        <v>0</v>
      </c>
      <c r="N501" s="14" t="n">
        <f aca="false">SUM(N499:N500)</f>
        <v>-1137</v>
      </c>
      <c r="O501" s="14" t="n">
        <f aca="false">SUM(O499:O500)</f>
        <v>0</v>
      </c>
      <c r="P501" s="14" t="n">
        <f aca="false">SUM(P499:P500)</f>
        <v>3863</v>
      </c>
      <c r="Q501" s="14" t="n">
        <f aca="false">SUM(Q499:Q500)</f>
        <v>0</v>
      </c>
      <c r="R501" s="15" t="n">
        <f aca="false">Q501/$P501</f>
        <v>0</v>
      </c>
      <c r="S501" s="14" t="n">
        <f aca="false">SUM(S499:S500)</f>
        <v>0</v>
      </c>
      <c r="T501" s="15" t="n">
        <f aca="false">S501/$P501</f>
        <v>0</v>
      </c>
      <c r="U501" s="14" t="n">
        <f aca="false">SUM(U499:U500)</f>
        <v>0</v>
      </c>
      <c r="V501" s="15" t="n">
        <f aca="false">U501/$P501</f>
        <v>0</v>
      </c>
      <c r="W501" s="14" t="n">
        <f aca="false">SUM(W499:W500)</f>
        <v>3862.5</v>
      </c>
      <c r="X501" s="15" t="n">
        <f aca="false">W501/$P501</f>
        <v>0.999870566916904</v>
      </c>
      <c r="Y501" s="14" t="n">
        <f aca="false">SUM(Y499:Y500)</f>
        <v>0</v>
      </c>
      <c r="Z501" s="14" t="n">
        <f aca="false">SUM(Z499:Z500)</f>
        <v>0</v>
      </c>
    </row>
    <row r="503" customFormat="false" ht="13.9" hidden="false" customHeight="true" outlineLevel="0" collapsed="false">
      <c r="D503" s="1" t="s">
        <v>57</v>
      </c>
    </row>
    <row r="504" customFormat="false" ht="13.9" hidden="true" customHeight="true" outlineLevel="0" collapsed="false">
      <c r="D504" s="30" t="s">
        <v>275</v>
      </c>
      <c r="E504" s="39" t="s">
        <v>276</v>
      </c>
      <c r="F504" s="17"/>
      <c r="G504" s="40" t="n">
        <f aca="false">SUM(G505:G507)</f>
        <v>11729.64</v>
      </c>
      <c r="H504" s="40"/>
      <c r="I504" s="40"/>
      <c r="J504" s="40"/>
      <c r="K504" s="40"/>
      <c r="L504" s="40"/>
      <c r="M504" s="40"/>
      <c r="N504" s="40"/>
      <c r="O504" s="40"/>
      <c r="P504" s="40" t="n">
        <f aca="false">K504+SUM(L504:O504)</f>
        <v>0</v>
      </c>
      <c r="Q504" s="40"/>
      <c r="R504" s="41" t="e">
        <f aca="false">Q504/$P504</f>
        <v>#DIV/0!</v>
      </c>
      <c r="S504" s="40"/>
      <c r="T504" s="41" t="e">
        <f aca="false">S504/$P504</f>
        <v>#DIV/0!</v>
      </c>
      <c r="U504" s="40"/>
      <c r="V504" s="41" t="e">
        <f aca="false">U504/$P504</f>
        <v>#DIV/0!</v>
      </c>
      <c r="W504" s="40"/>
      <c r="X504" s="42" t="e">
        <f aca="false">W504/$P504</f>
        <v>#DIV/0!</v>
      </c>
      <c r="Y504" s="40"/>
      <c r="Z504" s="43"/>
    </row>
    <row r="505" customFormat="false" ht="13.9" hidden="true" customHeight="true" outlineLevel="0" collapsed="false">
      <c r="D505" s="30"/>
      <c r="E505" s="44" t="s">
        <v>277</v>
      </c>
      <c r="F505" s="83"/>
      <c r="G505" s="70" t="n">
        <v>2918.6</v>
      </c>
      <c r="H505" s="70"/>
      <c r="I505" s="70"/>
      <c r="J505" s="70"/>
      <c r="K505" s="70"/>
      <c r="L505" s="70"/>
      <c r="M505" s="70"/>
      <c r="N505" s="70"/>
      <c r="O505" s="70"/>
      <c r="P505" s="70" t="n">
        <f aca="false">K505+SUM(L505:O505)</f>
        <v>0</v>
      </c>
      <c r="Q505" s="70"/>
      <c r="R505" s="71" t="e">
        <f aca="false">Q505/$P505</f>
        <v>#DIV/0!</v>
      </c>
      <c r="S505" s="70"/>
      <c r="T505" s="71" t="e">
        <f aca="false">S505/$P505</f>
        <v>#DIV/0!</v>
      </c>
      <c r="U505" s="70"/>
      <c r="V505" s="71" t="e">
        <f aca="false">U505/$P505</f>
        <v>#DIV/0!</v>
      </c>
      <c r="W505" s="70"/>
      <c r="X505" s="47" t="e">
        <f aca="false">W505/$P505</f>
        <v>#DIV/0!</v>
      </c>
      <c r="Y505" s="70"/>
      <c r="Z505" s="48"/>
    </row>
    <row r="506" customFormat="false" ht="13.9" hidden="true" customHeight="true" outlineLevel="0" collapsed="false">
      <c r="D506" s="30"/>
      <c r="E506" s="44" t="s">
        <v>278</v>
      </c>
      <c r="F506" s="83"/>
      <c r="G506" s="70" t="n">
        <v>2921.08</v>
      </c>
      <c r="H506" s="70"/>
      <c r="I506" s="70"/>
      <c r="J506" s="70"/>
      <c r="K506" s="70"/>
      <c r="L506" s="70"/>
      <c r="M506" s="70"/>
      <c r="N506" s="70"/>
      <c r="O506" s="70"/>
      <c r="P506" s="70" t="n">
        <f aca="false">K506+SUM(L506:O506)</f>
        <v>0</v>
      </c>
      <c r="Q506" s="70"/>
      <c r="R506" s="71" t="e">
        <f aca="false">Q506/$P506</f>
        <v>#DIV/0!</v>
      </c>
      <c r="S506" s="70"/>
      <c r="T506" s="71" t="e">
        <f aca="false">S506/$P506</f>
        <v>#DIV/0!</v>
      </c>
      <c r="U506" s="70"/>
      <c r="V506" s="71" t="e">
        <f aca="false">U506/$P506</f>
        <v>#DIV/0!</v>
      </c>
      <c r="W506" s="70"/>
      <c r="X506" s="47" t="e">
        <f aca="false">W506/$P506</f>
        <v>#DIV/0!</v>
      </c>
      <c r="Y506" s="70"/>
      <c r="Z506" s="48"/>
    </row>
    <row r="507" customFormat="false" ht="13.9" hidden="true" customHeight="true" outlineLevel="0" collapsed="false">
      <c r="D507" s="30"/>
      <c r="E507" s="52" t="s">
        <v>279</v>
      </c>
      <c r="F507" s="86"/>
      <c r="G507" s="54" t="n">
        <v>5889.96</v>
      </c>
      <c r="H507" s="54"/>
      <c r="I507" s="54"/>
      <c r="J507" s="54"/>
      <c r="K507" s="54"/>
      <c r="L507" s="54"/>
      <c r="M507" s="54"/>
      <c r="N507" s="54"/>
      <c r="O507" s="54"/>
      <c r="P507" s="54" t="n">
        <f aca="false">K507+SUM(L507:O507)</f>
        <v>0</v>
      </c>
      <c r="Q507" s="54"/>
      <c r="R507" s="55" t="e">
        <f aca="false">Q507/$P507</f>
        <v>#DIV/0!</v>
      </c>
      <c r="S507" s="54"/>
      <c r="T507" s="55" t="e">
        <f aca="false">S507/$P507</f>
        <v>#DIV/0!</v>
      </c>
      <c r="U507" s="54"/>
      <c r="V507" s="55" t="e">
        <f aca="false">U507/$P507</f>
        <v>#DIV/0!</v>
      </c>
      <c r="W507" s="54"/>
      <c r="X507" s="56" t="e">
        <f aca="false">W507/$P507</f>
        <v>#DIV/0!</v>
      </c>
      <c r="Y507" s="54"/>
      <c r="Z507" s="57"/>
    </row>
    <row r="508" customFormat="false" ht="13.9" hidden="true" customHeight="true" outlineLevel="0" collapsed="false">
      <c r="D508" s="30"/>
      <c r="E508" s="100" t="s">
        <v>280</v>
      </c>
      <c r="F508" s="106"/>
      <c r="G508" s="108" t="n">
        <v>2980.23</v>
      </c>
      <c r="H508" s="108"/>
      <c r="I508" s="108"/>
      <c r="J508" s="108"/>
      <c r="K508" s="108"/>
      <c r="L508" s="108"/>
      <c r="M508" s="108"/>
      <c r="N508" s="108"/>
      <c r="O508" s="108"/>
      <c r="P508" s="108" t="n">
        <f aca="false">K508+SUM(L508:O508)</f>
        <v>0</v>
      </c>
      <c r="Q508" s="108"/>
      <c r="R508" s="109" t="e">
        <f aca="false">Q508/$P508</f>
        <v>#DIV/0!</v>
      </c>
      <c r="S508" s="108"/>
      <c r="T508" s="109" t="e">
        <f aca="false">S508/$P508</f>
        <v>#DIV/0!</v>
      </c>
      <c r="U508" s="108"/>
      <c r="V508" s="109" t="e">
        <f aca="false">U508/$P508</f>
        <v>#DIV/0!</v>
      </c>
      <c r="W508" s="108"/>
      <c r="X508" s="110" t="e">
        <f aca="false">W508/$P508</f>
        <v>#DIV/0!</v>
      </c>
      <c r="Y508" s="108"/>
      <c r="Z508" s="111"/>
    </row>
    <row r="509" customFormat="false" ht="13.9" hidden="false" customHeight="true" outlineLevel="0" collapsed="false">
      <c r="D509" s="30" t="s">
        <v>275</v>
      </c>
      <c r="E509" s="100" t="s">
        <v>281</v>
      </c>
      <c r="F509" s="106"/>
      <c r="G509" s="108" t="n">
        <v>2</v>
      </c>
      <c r="H509" s="108" t="n">
        <v>2670</v>
      </c>
      <c r="I509" s="108" t="n">
        <v>10000</v>
      </c>
      <c r="J509" s="108" t="n">
        <v>370</v>
      </c>
      <c r="K509" s="108" t="n">
        <v>5000</v>
      </c>
      <c r="L509" s="108"/>
      <c r="M509" s="108"/>
      <c r="N509" s="108" t="n">
        <v>-1137</v>
      </c>
      <c r="O509" s="108"/>
      <c r="P509" s="108" t="n">
        <f aca="false">K509+SUM(L509:O509)</f>
        <v>3863</v>
      </c>
      <c r="Q509" s="108" t="n">
        <v>0</v>
      </c>
      <c r="R509" s="109" t="n">
        <f aca="false">Q509/$P509</f>
        <v>0</v>
      </c>
      <c r="S509" s="108" t="n">
        <v>0</v>
      </c>
      <c r="T509" s="109" t="n">
        <f aca="false">S509/$P509</f>
        <v>0</v>
      </c>
      <c r="U509" s="108" t="n">
        <v>0</v>
      </c>
      <c r="V509" s="109" t="n">
        <f aca="false">U509/$P509</f>
        <v>0</v>
      </c>
      <c r="W509" s="108" t="n">
        <v>3862.5</v>
      </c>
      <c r="X509" s="110" t="n">
        <f aca="false">W509/$P509</f>
        <v>0.999870566916904</v>
      </c>
      <c r="Y509" s="108"/>
      <c r="Z509" s="111"/>
    </row>
    <row r="510" customFormat="false" ht="13.9" hidden="true" customHeight="true" outlineLevel="0" collapsed="false">
      <c r="D510" s="122" t="s">
        <v>282</v>
      </c>
      <c r="E510" s="100" t="s">
        <v>283</v>
      </c>
      <c r="F510" s="106"/>
      <c r="G510" s="108"/>
      <c r="H510" s="108"/>
      <c r="I510" s="108" t="n">
        <v>57374</v>
      </c>
      <c r="J510" s="108" t="n">
        <v>57373.57</v>
      </c>
      <c r="K510" s="108"/>
      <c r="L510" s="108"/>
      <c r="M510" s="108"/>
      <c r="N510" s="108"/>
      <c r="O510" s="108"/>
      <c r="P510" s="108" t="n">
        <f aca="false">K510+SUM(L510:O510)</f>
        <v>0</v>
      </c>
      <c r="Q510" s="108"/>
      <c r="R510" s="109" t="e">
        <f aca="false">Q510/$P510</f>
        <v>#DIV/0!</v>
      </c>
      <c r="S510" s="108"/>
      <c r="T510" s="109" t="e">
        <f aca="false">S510/$P510</f>
        <v>#DIV/0!</v>
      </c>
      <c r="U510" s="108"/>
      <c r="V510" s="109" t="e">
        <f aca="false">U510/$P510</f>
        <v>#DIV/0!</v>
      </c>
      <c r="W510" s="108"/>
      <c r="X510" s="110" t="e">
        <f aca="false">W510/$P510</f>
        <v>#DIV/0!</v>
      </c>
      <c r="Y510" s="108"/>
      <c r="Z510" s="111"/>
    </row>
    <row r="512" customFormat="false" ht="13.9" hidden="false" customHeight="true" outlineLevel="0" collapsed="false">
      <c r="D512" s="28" t="s">
        <v>284</v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9"/>
      <c r="S512" s="28"/>
      <c r="T512" s="29"/>
      <c r="U512" s="28"/>
      <c r="V512" s="29"/>
      <c r="W512" s="28"/>
      <c r="X512" s="29"/>
      <c r="Y512" s="28"/>
      <c r="Z512" s="28"/>
    </row>
    <row r="513" customFormat="false" ht="13.9" hidden="false" customHeight="true" outlineLevel="0" collapsed="false">
      <c r="D513" s="121"/>
      <c r="E513" s="7"/>
      <c r="F513" s="7"/>
      <c r="G513" s="7" t="s">
        <v>1</v>
      </c>
      <c r="H513" s="7" t="s">
        <v>2</v>
      </c>
      <c r="I513" s="7" t="s">
        <v>3</v>
      </c>
      <c r="J513" s="7" t="s">
        <v>4</v>
      </c>
      <c r="K513" s="7" t="s">
        <v>5</v>
      </c>
      <c r="L513" s="7" t="s">
        <v>6</v>
      </c>
      <c r="M513" s="7" t="s">
        <v>7</v>
      </c>
      <c r="N513" s="7" t="s">
        <v>8</v>
      </c>
      <c r="O513" s="7" t="s">
        <v>9</v>
      </c>
      <c r="P513" s="7" t="s">
        <v>10</v>
      </c>
      <c r="Q513" s="7" t="s">
        <v>11</v>
      </c>
      <c r="R513" s="8" t="s">
        <v>12</v>
      </c>
      <c r="S513" s="7" t="s">
        <v>13</v>
      </c>
      <c r="T513" s="8" t="s">
        <v>14</v>
      </c>
      <c r="U513" s="7" t="s">
        <v>15</v>
      </c>
      <c r="V513" s="8" t="s">
        <v>16</v>
      </c>
      <c r="W513" s="7" t="s">
        <v>17</v>
      </c>
      <c r="X513" s="8" t="s">
        <v>18</v>
      </c>
      <c r="Y513" s="7" t="s">
        <v>19</v>
      </c>
      <c r="Z513" s="7" t="s">
        <v>20</v>
      </c>
    </row>
    <row r="514" customFormat="false" ht="13.9" hidden="false" customHeight="true" outlineLevel="0" collapsed="false">
      <c r="A514" s="1" t="n">
        <v>8</v>
      </c>
      <c r="B514" s="1" t="n">
        <v>2</v>
      </c>
      <c r="D514" s="123" t="s">
        <v>21</v>
      </c>
      <c r="E514" s="10" t="n">
        <v>111</v>
      </c>
      <c r="F514" s="10" t="s">
        <v>132</v>
      </c>
      <c r="G514" s="11" t="n">
        <f aca="false">249670.98+113000</f>
        <v>362670.98</v>
      </c>
      <c r="H514" s="11" t="n">
        <v>0</v>
      </c>
      <c r="I514" s="11" t="n">
        <f aca="false">200000+130000</f>
        <v>330000</v>
      </c>
      <c r="J514" s="11" t="n">
        <f aca="false">J521</f>
        <v>89115.6</v>
      </c>
      <c r="K514" s="11" t="n">
        <f aca="false">189183+10884</f>
        <v>200067</v>
      </c>
      <c r="L514" s="11"/>
      <c r="M514" s="11"/>
      <c r="N514" s="11"/>
      <c r="O514" s="11" t="n">
        <v>-9490</v>
      </c>
      <c r="P514" s="11" t="n">
        <f aca="false">K514+SUM(L514:O514)</f>
        <v>190577</v>
      </c>
      <c r="Q514" s="11" t="n">
        <v>10884.4</v>
      </c>
      <c r="R514" s="12" t="n">
        <f aca="false">Q514/$P514</f>
        <v>0.0571128730119584</v>
      </c>
      <c r="S514" s="40" t="n">
        <v>122504.22</v>
      </c>
      <c r="T514" s="12" t="n">
        <f aca="false">S514/$P514</f>
        <v>0.642806949422018</v>
      </c>
      <c r="U514" s="11" t="n">
        <v>177787.28</v>
      </c>
      <c r="V514" s="12" t="n">
        <f aca="false">U514/$P514</f>
        <v>0.93288948823835</v>
      </c>
      <c r="W514" s="11" t="n">
        <v>190577.56</v>
      </c>
      <c r="X514" s="12" t="n">
        <f aca="false">W514/$P514</f>
        <v>1.00000293844483</v>
      </c>
      <c r="Y514" s="11" t="n">
        <v>0</v>
      </c>
      <c r="Z514" s="11" t="n">
        <v>0</v>
      </c>
    </row>
    <row r="515" customFormat="false" ht="13.9" hidden="false" customHeight="true" outlineLevel="0" collapsed="false">
      <c r="A515" s="1" t="n">
        <v>8</v>
      </c>
      <c r="B515" s="1" t="n">
        <v>2</v>
      </c>
      <c r="D515" s="123" t="s">
        <v>21</v>
      </c>
      <c r="E515" s="10" t="n">
        <v>41</v>
      </c>
      <c r="F515" s="10" t="s">
        <v>23</v>
      </c>
      <c r="G515" s="11" t="n">
        <f aca="false">SUM(G519:G524)-G514</f>
        <v>53990.1900000001</v>
      </c>
      <c r="H515" s="11" t="n">
        <f aca="false">SUM(H519:H524)-H514</f>
        <v>140</v>
      </c>
      <c r="I515" s="11" t="n">
        <f aca="false">SUM(I519:I524)-I514</f>
        <v>311000</v>
      </c>
      <c r="J515" s="11" t="n">
        <f aca="false">SUM(J519:J524)-J514</f>
        <v>222669.1</v>
      </c>
      <c r="K515" s="11" t="n">
        <f aca="false">SUM(K519:K524)-K514</f>
        <v>120957</v>
      </c>
      <c r="L515" s="11" t="n">
        <f aca="false">SUM(L519:L524)-L514</f>
        <v>-2769</v>
      </c>
      <c r="M515" s="11" t="n">
        <f aca="false">SUM(M519:M524)-M514</f>
        <v>5610</v>
      </c>
      <c r="N515" s="11" t="n">
        <f aca="false">SUM(N519:N524)-N514</f>
        <v>0</v>
      </c>
      <c r="O515" s="11" t="n">
        <f aca="false">SUM(O519:O524)-O514</f>
        <v>-499</v>
      </c>
      <c r="P515" s="11" t="n">
        <f aca="false">SUM(P519:P524)-P514</f>
        <v>123299</v>
      </c>
      <c r="Q515" s="11" t="n">
        <f aca="false">SUM(Q519:Q524)-Q514</f>
        <v>78231.2</v>
      </c>
      <c r="R515" s="12" t="n">
        <f aca="false">Q515/$P515</f>
        <v>0.634483653557612</v>
      </c>
      <c r="S515" s="11" t="n">
        <f aca="false">SUM(S519:S524)-S514</f>
        <v>119716.4</v>
      </c>
      <c r="T515" s="12" t="n">
        <f aca="false">S515/$P515</f>
        <v>0.970943803274966</v>
      </c>
      <c r="U515" s="11" t="n">
        <f aca="false">SUM(U519:U524)-U514</f>
        <v>122626.03</v>
      </c>
      <c r="V515" s="12" t="n">
        <f aca="false">U515/$P515</f>
        <v>0.994541967088135</v>
      </c>
      <c r="W515" s="11" t="n">
        <f aca="false">SUM(W519:W524)-W514</f>
        <v>123299.2</v>
      </c>
      <c r="X515" s="12" t="n">
        <f aca="false">W515/$P515</f>
        <v>1.00000162207317</v>
      </c>
      <c r="Y515" s="11" t="n">
        <v>0</v>
      </c>
      <c r="Z515" s="11" t="n">
        <f aca="false">SUM(Z519:Z524)</f>
        <v>0</v>
      </c>
    </row>
    <row r="516" customFormat="false" ht="13.9" hidden="false" customHeight="true" outlineLevel="0" collapsed="false">
      <c r="A516" s="1" t="n">
        <v>8</v>
      </c>
      <c r="B516" s="1" t="n">
        <v>2</v>
      </c>
      <c r="D516" s="17"/>
      <c r="E516" s="18"/>
      <c r="F516" s="13" t="s">
        <v>122</v>
      </c>
      <c r="G516" s="14" t="n">
        <f aca="false">SUM(G514:G515)</f>
        <v>416661.17</v>
      </c>
      <c r="H516" s="14" t="n">
        <f aca="false">SUM(H514:H515)</f>
        <v>140</v>
      </c>
      <c r="I516" s="14" t="n">
        <f aca="false">SUM(I514:I515)</f>
        <v>641000</v>
      </c>
      <c r="J516" s="14" t="n">
        <f aca="false">SUM(J514:J515)</f>
        <v>311784.7</v>
      </c>
      <c r="K516" s="14" t="n">
        <f aca="false">SUM(K514:K515)</f>
        <v>321024</v>
      </c>
      <c r="L516" s="14" t="n">
        <f aca="false">SUM(L514:L515)</f>
        <v>-2769</v>
      </c>
      <c r="M516" s="14" t="n">
        <f aca="false">SUM(M514:M515)</f>
        <v>5610</v>
      </c>
      <c r="N516" s="14" t="n">
        <f aca="false">SUM(N514:N515)</f>
        <v>0</v>
      </c>
      <c r="O516" s="14" t="n">
        <f aca="false">SUM(O514:O515)</f>
        <v>-9989</v>
      </c>
      <c r="P516" s="14" t="n">
        <f aca="false">SUM(P514:P515)</f>
        <v>313876</v>
      </c>
      <c r="Q516" s="14" t="n">
        <f aca="false">SUM(Q514:Q515)</f>
        <v>89115.6</v>
      </c>
      <c r="R516" s="15" t="n">
        <f aca="false">Q516/$P516</f>
        <v>0.283919764492984</v>
      </c>
      <c r="S516" s="14" t="n">
        <f aca="false">SUM(S514:S515)</f>
        <v>242220.62</v>
      </c>
      <c r="T516" s="15" t="n">
        <f aca="false">S516/$P516</f>
        <v>0.771707999337318</v>
      </c>
      <c r="U516" s="14" t="n">
        <f aca="false">SUM(U514:U515)</f>
        <v>300413.31</v>
      </c>
      <c r="V516" s="15" t="n">
        <f aca="false">U516/$P516</f>
        <v>0.957108252940652</v>
      </c>
      <c r="W516" s="14" t="n">
        <f aca="false">SUM(W514:W515)</f>
        <v>313876.76</v>
      </c>
      <c r="X516" s="15" t="n">
        <f aca="false">W516/$P516</f>
        <v>1.00000242133836</v>
      </c>
      <c r="Y516" s="14" t="n">
        <f aca="false">SUM(Y514:Y515)</f>
        <v>0</v>
      </c>
      <c r="Z516" s="14" t="n">
        <f aca="false">SUM(Z514:Z515)</f>
        <v>0</v>
      </c>
    </row>
    <row r="518" customFormat="false" ht="13.9" hidden="false" customHeight="true" outlineLevel="0" collapsed="false">
      <c r="D518" s="1" t="s">
        <v>57</v>
      </c>
    </row>
    <row r="519" customFormat="false" ht="13.9" hidden="true" customHeight="true" outlineLevel="0" collapsed="false">
      <c r="D519" s="122" t="s">
        <v>285</v>
      </c>
      <c r="E519" s="100" t="s">
        <v>286</v>
      </c>
      <c r="F519" s="106"/>
      <c r="G519" s="108" t="n">
        <v>367528.2</v>
      </c>
      <c r="H519" s="107"/>
      <c r="I519" s="107"/>
      <c r="J519" s="107"/>
      <c r="K519" s="107"/>
      <c r="L519" s="107"/>
      <c r="M519" s="107"/>
      <c r="N519" s="107"/>
      <c r="O519" s="107"/>
      <c r="P519" s="107" t="n">
        <f aca="false">K519+SUM(L519:O519)</f>
        <v>0</v>
      </c>
      <c r="Q519" s="107"/>
      <c r="R519" s="115" t="e">
        <f aca="false">Q519/$P519</f>
        <v>#DIV/0!</v>
      </c>
      <c r="S519" s="107"/>
      <c r="T519" s="115" t="e">
        <f aca="false">S519/$P519</f>
        <v>#DIV/0!</v>
      </c>
      <c r="U519" s="107"/>
      <c r="V519" s="115" t="e">
        <f aca="false">U519/$P519</f>
        <v>#DIV/0!</v>
      </c>
      <c r="W519" s="107"/>
      <c r="X519" s="116" t="e">
        <f aca="false">W519/$P519</f>
        <v>#DIV/0!</v>
      </c>
      <c r="Y519" s="108"/>
      <c r="Z519" s="111"/>
    </row>
    <row r="520" customFormat="false" ht="13.9" hidden="false" customHeight="true" outlineLevel="0" collapsed="false">
      <c r="D520" s="122" t="s">
        <v>287</v>
      </c>
      <c r="E520" s="39" t="s">
        <v>288</v>
      </c>
      <c r="F520" s="17"/>
      <c r="G520" s="40"/>
      <c r="H520" s="40"/>
      <c r="I520" s="40" t="n">
        <f aca="false">200000+10000</f>
        <v>210000</v>
      </c>
      <c r="J520" s="40" t="n">
        <v>0</v>
      </c>
      <c r="K520" s="40" t="n">
        <f aca="false">189183+9957</f>
        <v>199140</v>
      </c>
      <c r="L520" s="40"/>
      <c r="M520" s="40"/>
      <c r="N520" s="40"/>
      <c r="O520" s="40" t="n">
        <v>-9989</v>
      </c>
      <c r="P520" s="40" t="n">
        <f aca="false">K520+SUM(L520:O520)</f>
        <v>189151</v>
      </c>
      <c r="Q520" s="40" t="n">
        <v>0</v>
      </c>
      <c r="R520" s="41" t="n">
        <f aca="false">Q520/$P520</f>
        <v>0</v>
      </c>
      <c r="S520" s="40" t="n">
        <v>117494.54</v>
      </c>
      <c r="T520" s="41" t="n">
        <f aca="false">S520/$P520</f>
        <v>0.621167955760213</v>
      </c>
      <c r="U520" s="40" t="n">
        <v>175687.23</v>
      </c>
      <c r="V520" s="41" t="n">
        <f aca="false">U520/$P520</f>
        <v>0.928819990378058</v>
      </c>
      <c r="W520" s="40" t="n">
        <v>189150.68</v>
      </c>
      <c r="X520" s="42" t="n">
        <f aca="false">W520/$P520</f>
        <v>0.999998308229933</v>
      </c>
      <c r="Y520" s="40"/>
      <c r="Z520" s="43"/>
    </row>
    <row r="521" customFormat="false" ht="13.9" hidden="false" customHeight="true" outlineLevel="0" collapsed="false">
      <c r="D521" s="122" t="s">
        <v>287</v>
      </c>
      <c r="E521" s="124" t="s">
        <v>289</v>
      </c>
      <c r="F521" s="83"/>
      <c r="G521" s="70"/>
      <c r="H521" s="70"/>
      <c r="I521" s="70" t="n">
        <f aca="false">131000+50000</f>
        <v>181000</v>
      </c>
      <c r="J521" s="70" t="n">
        <v>89115.6</v>
      </c>
      <c r="K521" s="70" t="n">
        <v>91884</v>
      </c>
      <c r="L521" s="70" t="n">
        <v>-2769</v>
      </c>
      <c r="M521" s="70"/>
      <c r="N521" s="70"/>
      <c r="O521" s="70"/>
      <c r="P521" s="70" t="n">
        <f aca="false">K521+SUM(L521:O521)</f>
        <v>89115</v>
      </c>
      <c r="Q521" s="70" t="n">
        <f aca="false">10884.4+78231.2</f>
        <v>89115.6</v>
      </c>
      <c r="R521" s="71" t="n">
        <f aca="false">Q521/$P521</f>
        <v>1.00000673287325</v>
      </c>
      <c r="S521" s="70" t="n">
        <v>89115.6</v>
      </c>
      <c r="T521" s="71" t="n">
        <f aca="false">S521/$P521</f>
        <v>1.00000673287325</v>
      </c>
      <c r="U521" s="70" t="n">
        <v>89115.6</v>
      </c>
      <c r="V521" s="71" t="n">
        <f aca="false">U521/$P521</f>
        <v>1.00000673287325</v>
      </c>
      <c r="W521" s="70" t="n">
        <v>89115.6</v>
      </c>
      <c r="X521" s="47" t="n">
        <f aca="false">W521/$P521</f>
        <v>1.00000673287325</v>
      </c>
      <c r="Y521" s="70"/>
      <c r="Z521" s="48"/>
    </row>
    <row r="522" customFormat="false" ht="13.9" hidden="false" customHeight="true" outlineLevel="0" collapsed="false">
      <c r="D522" s="122"/>
      <c r="E522" s="125" t="s">
        <v>290</v>
      </c>
      <c r="F522" s="86"/>
      <c r="G522" s="54"/>
      <c r="H522" s="54"/>
      <c r="I522" s="54"/>
      <c r="J522" s="54"/>
      <c r="K522" s="54" t="n">
        <v>30000</v>
      </c>
      <c r="L522" s="54"/>
      <c r="M522" s="54" t="n">
        <v>5610</v>
      </c>
      <c r="N522" s="54"/>
      <c r="O522" s="54"/>
      <c r="P522" s="54" t="n">
        <f aca="false">K522+SUM(L522:O522)</f>
        <v>35610</v>
      </c>
      <c r="Q522" s="54" t="n">
        <v>0</v>
      </c>
      <c r="R522" s="55" t="n">
        <f aca="false">Q522/$P522</f>
        <v>0</v>
      </c>
      <c r="S522" s="54" t="n">
        <v>35610.48</v>
      </c>
      <c r="T522" s="55" t="n">
        <f aca="false">S522/$P522</f>
        <v>1.00001347935973</v>
      </c>
      <c r="U522" s="54" t="n">
        <v>35610.48</v>
      </c>
      <c r="V522" s="55" t="n">
        <f aca="false">U522/$P522</f>
        <v>1.00001347935973</v>
      </c>
      <c r="W522" s="54" t="n">
        <v>35610.48</v>
      </c>
      <c r="X522" s="56" t="n">
        <f aca="false">W522/$P522</f>
        <v>1.00001347935973</v>
      </c>
      <c r="Y522" s="54"/>
      <c r="Z522" s="57"/>
    </row>
    <row r="523" customFormat="false" ht="13.9" hidden="true" customHeight="true" outlineLevel="0" collapsed="false">
      <c r="D523" s="122" t="s">
        <v>287</v>
      </c>
      <c r="E523" s="124" t="s">
        <v>291</v>
      </c>
      <c r="F523" s="83"/>
      <c r="G523" s="70"/>
      <c r="H523" s="70" t="n">
        <v>140</v>
      </c>
      <c r="I523" s="70" t="n">
        <v>250000</v>
      </c>
      <c r="J523" s="70" t="n">
        <v>222669.1</v>
      </c>
      <c r="K523" s="70"/>
      <c r="L523" s="70"/>
      <c r="M523" s="70"/>
      <c r="N523" s="70"/>
      <c r="O523" s="70"/>
      <c r="P523" s="70" t="n">
        <f aca="false">K523+SUM(L523:O523)</f>
        <v>0</v>
      </c>
      <c r="Q523" s="70"/>
      <c r="R523" s="71" t="e">
        <f aca="false">Q523/$P523</f>
        <v>#DIV/0!</v>
      </c>
      <c r="S523" s="70"/>
      <c r="T523" s="71" t="e">
        <f aca="false">S523/$P523</f>
        <v>#DIV/0!</v>
      </c>
      <c r="U523" s="70"/>
      <c r="V523" s="71" t="e">
        <f aca="false">U523/$P523</f>
        <v>#DIV/0!</v>
      </c>
      <c r="W523" s="70"/>
      <c r="X523" s="47" t="e">
        <f aca="false">W523/$P523</f>
        <v>#DIV/0!</v>
      </c>
      <c r="Y523" s="70"/>
      <c r="Z523" s="48"/>
    </row>
    <row r="524" customFormat="false" ht="13.9" hidden="true" customHeight="true" outlineLevel="0" collapsed="false">
      <c r="D524" s="122"/>
      <c r="E524" s="125" t="s">
        <v>292</v>
      </c>
      <c r="F524" s="86"/>
      <c r="G524" s="54" t="n">
        <v>49132.97</v>
      </c>
      <c r="H524" s="54"/>
      <c r="I524" s="54"/>
      <c r="J524" s="54"/>
      <c r="K524" s="54"/>
      <c r="L524" s="54"/>
      <c r="M524" s="54"/>
      <c r="N524" s="54"/>
      <c r="O524" s="54"/>
      <c r="P524" s="54" t="n">
        <f aca="false">K524+SUM(L524:O524)</f>
        <v>0</v>
      </c>
      <c r="Q524" s="54"/>
      <c r="R524" s="55" t="e">
        <f aca="false">Q524/$P524</f>
        <v>#DIV/0!</v>
      </c>
      <c r="S524" s="54"/>
      <c r="T524" s="55" t="e">
        <f aca="false">S524/$P524</f>
        <v>#DIV/0!</v>
      </c>
      <c r="U524" s="54"/>
      <c r="V524" s="55" t="e">
        <f aca="false">U524/$P524</f>
        <v>#DIV/0!</v>
      </c>
      <c r="W524" s="54"/>
      <c r="X524" s="56" t="e">
        <f aca="false">W524/$P524</f>
        <v>#DIV/0!</v>
      </c>
      <c r="Y524" s="54"/>
      <c r="Z524" s="57"/>
    </row>
    <row r="526" customFormat="false" ht="13.9" hidden="false" customHeight="true" outlineLevel="0" collapsed="false">
      <c r="D526" s="28" t="s">
        <v>293</v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9"/>
      <c r="S526" s="28"/>
      <c r="T526" s="29"/>
      <c r="U526" s="28"/>
      <c r="V526" s="29"/>
      <c r="W526" s="28"/>
      <c r="X526" s="29"/>
      <c r="Y526" s="28"/>
      <c r="Z526" s="28"/>
    </row>
    <row r="527" customFormat="false" ht="13.9" hidden="false" customHeight="true" outlineLevel="0" collapsed="false">
      <c r="D527" s="121"/>
      <c r="E527" s="7"/>
      <c r="F527" s="7"/>
      <c r="G527" s="7" t="s">
        <v>1</v>
      </c>
      <c r="H527" s="7" t="s">
        <v>2</v>
      </c>
      <c r="I527" s="7" t="s">
        <v>3</v>
      </c>
      <c r="J527" s="7" t="s">
        <v>4</v>
      </c>
      <c r="K527" s="7" t="s">
        <v>5</v>
      </c>
      <c r="L527" s="7" t="s">
        <v>6</v>
      </c>
      <c r="M527" s="7" t="s">
        <v>7</v>
      </c>
      <c r="N527" s="7" t="s">
        <v>8</v>
      </c>
      <c r="O527" s="7" t="s">
        <v>9</v>
      </c>
      <c r="P527" s="7" t="s">
        <v>10</v>
      </c>
      <c r="Q527" s="7" t="s">
        <v>11</v>
      </c>
      <c r="R527" s="8" t="s">
        <v>12</v>
      </c>
      <c r="S527" s="7" t="s">
        <v>13</v>
      </c>
      <c r="T527" s="8" t="s">
        <v>14</v>
      </c>
      <c r="U527" s="7" t="s">
        <v>15</v>
      </c>
      <c r="V527" s="8" t="s">
        <v>16</v>
      </c>
      <c r="W527" s="7" t="s">
        <v>17</v>
      </c>
      <c r="X527" s="8" t="s">
        <v>18</v>
      </c>
      <c r="Y527" s="7" t="s">
        <v>19</v>
      </c>
      <c r="Z527" s="7" t="s">
        <v>20</v>
      </c>
    </row>
    <row r="528" customFormat="false" ht="13.9" hidden="false" customHeight="true" outlineLevel="0" collapsed="false">
      <c r="A528" s="1" t="n">
        <v>8</v>
      </c>
      <c r="B528" s="1" t="n">
        <v>3</v>
      </c>
      <c r="D528" s="123" t="s">
        <v>21</v>
      </c>
      <c r="E528" s="10" t="n">
        <v>41</v>
      </c>
      <c r="F528" s="10" t="s">
        <v>23</v>
      </c>
      <c r="G528" s="11" t="n">
        <f aca="false">SUM(G532:G535)</f>
        <v>0</v>
      </c>
      <c r="H528" s="11" t="n">
        <f aca="false">SUM(H532:H535)</f>
        <v>1010</v>
      </c>
      <c r="I528" s="11" t="n">
        <f aca="false">SUM(I532:I535)</f>
        <v>271990</v>
      </c>
      <c r="J528" s="11" t="n">
        <f aca="false">SUM(J532:J535)</f>
        <v>291008.93</v>
      </c>
      <c r="K528" s="11" t="n">
        <f aca="false">SUM(K532:K535)</f>
        <v>450000</v>
      </c>
      <c r="L528" s="11" t="n">
        <f aca="false">SUM(L532:L535)</f>
        <v>0</v>
      </c>
      <c r="M528" s="11" t="n">
        <f aca="false">SUM(M532:M535)</f>
        <v>0</v>
      </c>
      <c r="N528" s="11" t="n">
        <f aca="false">SUM(N532:N535)</f>
        <v>-6812</v>
      </c>
      <c r="O528" s="11" t="n">
        <f aca="false">SUM(O532:O535)</f>
        <v>-10000</v>
      </c>
      <c r="P528" s="11" t="n">
        <f aca="false">SUM(P532:P535)</f>
        <v>433188</v>
      </c>
      <c r="Q528" s="11" t="n">
        <f aca="false">SUM(Q532:Q535)</f>
        <v>0</v>
      </c>
      <c r="R528" s="12" t="n">
        <f aca="false">Q528/$P528</f>
        <v>0</v>
      </c>
      <c r="S528" s="11" t="n">
        <f aca="false">SUM(S532:S535)</f>
        <v>146393.31</v>
      </c>
      <c r="T528" s="12" t="n">
        <f aca="false">S528/$P528</f>
        <v>0.337944056622067</v>
      </c>
      <c r="U528" s="11" t="n">
        <f aca="false">SUM(U532:U535)</f>
        <v>370013.42</v>
      </c>
      <c r="V528" s="12" t="n">
        <f aca="false">U528/$P528</f>
        <v>0.854163596406179</v>
      </c>
      <c r="W528" s="11" t="n">
        <f aca="false">SUM(W532:W535)</f>
        <v>425261.19</v>
      </c>
      <c r="X528" s="12" t="n">
        <f aca="false">W528/$P528</f>
        <v>0.981701224410649</v>
      </c>
      <c r="Y528" s="11" t="n">
        <f aca="false">SUM(Y532:Y535)</f>
        <v>600593</v>
      </c>
      <c r="Z528" s="11" t="n">
        <f aca="false">SUM(Z532:Z535)</f>
        <v>0</v>
      </c>
    </row>
    <row r="529" customFormat="false" ht="13.9" hidden="false" customHeight="true" outlineLevel="0" collapsed="false">
      <c r="A529" s="1" t="n">
        <v>8</v>
      </c>
      <c r="B529" s="1" t="n">
        <v>3</v>
      </c>
      <c r="D529" s="17"/>
      <c r="E529" s="18"/>
      <c r="F529" s="13" t="s">
        <v>122</v>
      </c>
      <c r="G529" s="14" t="n">
        <f aca="false">SUM(G528:G528)</f>
        <v>0</v>
      </c>
      <c r="H529" s="14" t="n">
        <f aca="false">SUM(H528:H528)</f>
        <v>1010</v>
      </c>
      <c r="I529" s="14" t="n">
        <f aca="false">SUM(I528:I528)</f>
        <v>271990</v>
      </c>
      <c r="J529" s="14" t="n">
        <f aca="false">SUM(J528:J528)</f>
        <v>291008.93</v>
      </c>
      <c r="K529" s="14" t="n">
        <f aca="false">SUM(K528:K528)</f>
        <v>450000</v>
      </c>
      <c r="L529" s="14" t="n">
        <f aca="false">SUM(L528:L528)</f>
        <v>0</v>
      </c>
      <c r="M529" s="14" t="n">
        <f aca="false">SUM(M528:M528)</f>
        <v>0</v>
      </c>
      <c r="N529" s="14" t="n">
        <f aca="false">SUM(N528:N528)</f>
        <v>-6812</v>
      </c>
      <c r="O529" s="14" t="n">
        <f aca="false">SUM(O528:O528)</f>
        <v>-10000</v>
      </c>
      <c r="P529" s="14" t="n">
        <f aca="false">SUM(P528:P528)</f>
        <v>433188</v>
      </c>
      <c r="Q529" s="14" t="n">
        <f aca="false">SUM(Q528:Q528)</f>
        <v>0</v>
      </c>
      <c r="R529" s="15" t="n">
        <f aca="false">Q529/$P529</f>
        <v>0</v>
      </c>
      <c r="S529" s="14" t="n">
        <f aca="false">SUM(S528:S528)</f>
        <v>146393.31</v>
      </c>
      <c r="T529" s="15" t="n">
        <f aca="false">S529/$P529</f>
        <v>0.337944056622067</v>
      </c>
      <c r="U529" s="14" t="n">
        <f aca="false">SUM(U528:U528)</f>
        <v>370013.42</v>
      </c>
      <c r="V529" s="15" t="n">
        <f aca="false">U529/$P529</f>
        <v>0.854163596406179</v>
      </c>
      <c r="W529" s="14" t="n">
        <f aca="false">SUM(W528:W528)</f>
        <v>425261.19</v>
      </c>
      <c r="X529" s="15" t="n">
        <f aca="false">W529/$P529</f>
        <v>0.981701224410649</v>
      </c>
      <c r="Y529" s="14" t="n">
        <f aca="false">SUM(Y528:Y528)</f>
        <v>600593</v>
      </c>
      <c r="Z529" s="14" t="n">
        <f aca="false">SUM(Z528:Z528)</f>
        <v>0</v>
      </c>
    </row>
    <row r="531" customFormat="false" ht="13.9" hidden="false" customHeight="true" outlineLevel="0" collapsed="false">
      <c r="D531" s="1" t="s">
        <v>57</v>
      </c>
    </row>
    <row r="532" customFormat="false" ht="13.9" hidden="true" customHeight="true" outlineLevel="0" collapsed="false">
      <c r="D532" s="30" t="s">
        <v>294</v>
      </c>
      <c r="E532" s="100" t="s">
        <v>295</v>
      </c>
      <c r="F532" s="106"/>
      <c r="G532" s="108"/>
      <c r="H532" s="108" t="n">
        <v>870</v>
      </c>
      <c r="I532" s="108" t="n">
        <v>2670</v>
      </c>
      <c r="J532" s="108" t="n">
        <v>4074</v>
      </c>
      <c r="K532" s="108"/>
      <c r="L532" s="108"/>
      <c r="M532" s="108"/>
      <c r="N532" s="108"/>
      <c r="O532" s="108"/>
      <c r="P532" s="108" t="n">
        <f aca="false">K532+SUM(L532:O532)</f>
        <v>0</v>
      </c>
      <c r="Q532" s="108"/>
      <c r="R532" s="109" t="e">
        <f aca="false">Q532/$P532</f>
        <v>#DIV/0!</v>
      </c>
      <c r="S532" s="108"/>
      <c r="T532" s="109" t="e">
        <f aca="false">S532/$P532</f>
        <v>#DIV/0!</v>
      </c>
      <c r="U532" s="108"/>
      <c r="V532" s="109" t="e">
        <f aca="false">U532/$P532</f>
        <v>#DIV/0!</v>
      </c>
      <c r="W532" s="108"/>
      <c r="X532" s="110" t="e">
        <f aca="false">W532/$P532</f>
        <v>#DIV/0!</v>
      </c>
      <c r="Y532" s="108"/>
      <c r="Z532" s="111"/>
    </row>
    <row r="533" customFormat="false" ht="13.9" hidden="true" customHeight="true" outlineLevel="0" collapsed="false">
      <c r="D533" s="30"/>
      <c r="E533" s="100" t="s">
        <v>296</v>
      </c>
      <c r="F533" s="106"/>
      <c r="G533" s="108"/>
      <c r="H533" s="108" t="n">
        <v>140</v>
      </c>
      <c r="I533" s="108" t="n">
        <f aca="false">19320</f>
        <v>19320</v>
      </c>
      <c r="J533" s="108" t="n">
        <v>19393.9</v>
      </c>
      <c r="K533" s="108"/>
      <c r="L533" s="108"/>
      <c r="M533" s="108"/>
      <c r="N533" s="108"/>
      <c r="O533" s="108"/>
      <c r="P533" s="108" t="n">
        <f aca="false">K533+SUM(L533:O533)</f>
        <v>0</v>
      </c>
      <c r="Q533" s="108"/>
      <c r="R533" s="109" t="e">
        <f aca="false">Q533/$P533</f>
        <v>#DIV/0!</v>
      </c>
      <c r="S533" s="108"/>
      <c r="T533" s="109" t="e">
        <f aca="false">S533/$P533</f>
        <v>#DIV/0!</v>
      </c>
      <c r="U533" s="108"/>
      <c r="V533" s="109" t="e">
        <f aca="false">U533/$P533</f>
        <v>#DIV/0!</v>
      </c>
      <c r="W533" s="108"/>
      <c r="X533" s="110" t="e">
        <f aca="false">W533/$P533</f>
        <v>#DIV/0!</v>
      </c>
      <c r="Y533" s="108"/>
      <c r="Z533" s="111"/>
    </row>
    <row r="534" customFormat="false" ht="13.9" hidden="false" customHeight="true" outlineLevel="0" collapsed="false">
      <c r="D534" s="30"/>
      <c r="E534" s="100" t="s">
        <v>297</v>
      </c>
      <c r="F534" s="106"/>
      <c r="G534" s="108"/>
      <c r="H534" s="108"/>
      <c r="I534" s="108" t="n">
        <v>250000</v>
      </c>
      <c r="J534" s="108" t="n">
        <v>267541.03</v>
      </c>
      <c r="K534" s="108" t="n">
        <v>450000</v>
      </c>
      <c r="L534" s="108"/>
      <c r="M534" s="108"/>
      <c r="N534" s="108" t="n">
        <v>-6812</v>
      </c>
      <c r="O534" s="108" t="n">
        <v>-10000</v>
      </c>
      <c r="P534" s="108" t="n">
        <f aca="false">K534+SUM(L534:O534)</f>
        <v>433188</v>
      </c>
      <c r="Q534" s="108" t="n">
        <v>0</v>
      </c>
      <c r="R534" s="109" t="n">
        <f aca="false">Q534/$P534</f>
        <v>0</v>
      </c>
      <c r="S534" s="108" t="n">
        <v>146393.31</v>
      </c>
      <c r="T534" s="109" t="n">
        <f aca="false">S534/$P534</f>
        <v>0.337944056622067</v>
      </c>
      <c r="U534" s="108" t="n">
        <v>370013.42</v>
      </c>
      <c r="V534" s="109" t="n">
        <f aca="false">U534/$P534</f>
        <v>0.854163596406179</v>
      </c>
      <c r="W534" s="108" t="n">
        <v>425261.19</v>
      </c>
      <c r="X534" s="110" t="n">
        <f aca="false">W534/$P534</f>
        <v>0.981701224410649</v>
      </c>
      <c r="Y534" s="108"/>
      <c r="Z534" s="111"/>
    </row>
    <row r="535" customFormat="false" ht="13.9" hidden="true" customHeight="true" outlineLevel="0" collapsed="false">
      <c r="D535" s="30"/>
      <c r="E535" s="100" t="s">
        <v>298</v>
      </c>
      <c r="F535" s="106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 t="n">
        <f aca="false">K535+SUM(L535:O535)</f>
        <v>0</v>
      </c>
      <c r="Q535" s="108"/>
      <c r="R535" s="109" t="e">
        <f aca="false">Q535/$P535</f>
        <v>#DIV/0!</v>
      </c>
      <c r="S535" s="108"/>
      <c r="T535" s="109" t="e">
        <f aca="false">S535/$P535</f>
        <v>#DIV/0!</v>
      </c>
      <c r="U535" s="108"/>
      <c r="V535" s="109" t="e">
        <f aca="false">U535/$P535</f>
        <v>#DIV/0!</v>
      </c>
      <c r="W535" s="108"/>
      <c r="X535" s="110" t="e">
        <f aca="false">W535/$P535</f>
        <v>#DIV/0!</v>
      </c>
      <c r="Y535" s="107" t="n">
        <v>600593</v>
      </c>
      <c r="Z535" s="111"/>
    </row>
    <row r="537" customFormat="false" ht="13.9" hidden="true" customHeight="true" outlineLevel="0" collapsed="false">
      <c r="D537" s="28" t="s">
        <v>299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9"/>
      <c r="S537" s="28"/>
      <c r="T537" s="29"/>
      <c r="U537" s="28"/>
      <c r="V537" s="29"/>
      <c r="W537" s="28"/>
      <c r="X537" s="29"/>
      <c r="Y537" s="28"/>
      <c r="Z537" s="28"/>
    </row>
    <row r="538" customFormat="false" ht="13.9" hidden="true" customHeight="true" outlineLevel="0" collapsed="false">
      <c r="D538" s="121"/>
      <c r="E538" s="7"/>
      <c r="F538" s="7"/>
      <c r="G538" s="7" t="s">
        <v>1</v>
      </c>
      <c r="H538" s="7" t="s">
        <v>2</v>
      </c>
      <c r="I538" s="7" t="s">
        <v>3</v>
      </c>
      <c r="J538" s="7" t="s">
        <v>4</v>
      </c>
      <c r="K538" s="7" t="s">
        <v>5</v>
      </c>
      <c r="L538" s="7" t="s">
        <v>6</v>
      </c>
      <c r="M538" s="7" t="s">
        <v>7</v>
      </c>
      <c r="N538" s="7" t="s">
        <v>8</v>
      </c>
      <c r="O538" s="7" t="s">
        <v>9</v>
      </c>
      <c r="P538" s="7" t="s">
        <v>10</v>
      </c>
      <c r="Q538" s="7" t="s">
        <v>11</v>
      </c>
      <c r="R538" s="8" t="s">
        <v>12</v>
      </c>
      <c r="S538" s="7" t="s">
        <v>13</v>
      </c>
      <c r="T538" s="8" t="s">
        <v>14</v>
      </c>
      <c r="U538" s="7" t="s">
        <v>15</v>
      </c>
      <c r="V538" s="8" t="s">
        <v>16</v>
      </c>
      <c r="W538" s="7" t="s">
        <v>17</v>
      </c>
      <c r="X538" s="8" t="s">
        <v>18</v>
      </c>
      <c r="Y538" s="7" t="s">
        <v>19</v>
      </c>
      <c r="Z538" s="7" t="s">
        <v>20</v>
      </c>
    </row>
    <row r="539" customFormat="false" ht="13.9" hidden="true" customHeight="true" outlineLevel="0" collapsed="false">
      <c r="A539" s="1" t="n">
        <v>8</v>
      </c>
      <c r="B539" s="1" t="n">
        <v>4</v>
      </c>
      <c r="D539" s="123" t="s">
        <v>21</v>
      </c>
      <c r="E539" s="10" t="n">
        <v>111</v>
      </c>
      <c r="F539" s="10" t="s">
        <v>47</v>
      </c>
      <c r="G539" s="11" t="n">
        <v>636446.24</v>
      </c>
      <c r="H539" s="11" t="n">
        <v>0</v>
      </c>
      <c r="I539" s="11" t="n">
        <v>0</v>
      </c>
      <c r="J539" s="11" t="n">
        <v>0</v>
      </c>
      <c r="K539" s="11" t="n">
        <v>0</v>
      </c>
      <c r="L539" s="11" t="n">
        <v>0</v>
      </c>
      <c r="M539" s="11" t="n">
        <v>0</v>
      </c>
      <c r="N539" s="11" t="n">
        <v>0</v>
      </c>
      <c r="O539" s="11" t="n">
        <v>0</v>
      </c>
      <c r="P539" s="11" t="n">
        <v>0</v>
      </c>
      <c r="Q539" s="11" t="n">
        <v>0</v>
      </c>
      <c r="R539" s="12" t="e">
        <f aca="false">Q539/$P539</f>
        <v>#DIV/0!</v>
      </c>
      <c r="S539" s="11" t="n">
        <v>0</v>
      </c>
      <c r="T539" s="12" t="e">
        <f aca="false">S539/$P539</f>
        <v>#DIV/0!</v>
      </c>
      <c r="U539" s="11" t="n">
        <v>0</v>
      </c>
      <c r="V539" s="12" t="e">
        <f aca="false">U539/$P539</f>
        <v>#DIV/0!</v>
      </c>
      <c r="W539" s="11" t="n">
        <v>0</v>
      </c>
      <c r="X539" s="12" t="e">
        <f aca="false">W539/$P539</f>
        <v>#DIV/0!</v>
      </c>
      <c r="Y539" s="11" t="n">
        <f aca="false">SUM(Y543:Y543)</f>
        <v>0</v>
      </c>
      <c r="Z539" s="11" t="n">
        <f aca="false">SUM(Z543:Z543)</f>
        <v>0</v>
      </c>
    </row>
    <row r="540" customFormat="false" ht="13.9" hidden="true" customHeight="true" outlineLevel="0" collapsed="false">
      <c r="A540" s="1" t="n">
        <v>8</v>
      </c>
      <c r="B540" s="1" t="n">
        <v>4</v>
      </c>
      <c r="D540" s="123" t="s">
        <v>21</v>
      </c>
      <c r="E540" s="10" t="n">
        <v>41</v>
      </c>
      <c r="F540" s="10" t="s">
        <v>23</v>
      </c>
      <c r="G540" s="11" t="n">
        <f aca="false">SUM(G544:G547)-G539</f>
        <v>42486.76</v>
      </c>
      <c r="H540" s="11" t="n">
        <f aca="false">SUM(H544:H547)-H539</f>
        <v>0</v>
      </c>
      <c r="I540" s="11" t="n">
        <f aca="false">SUM(I544:I547)-I539</f>
        <v>0</v>
      </c>
      <c r="J540" s="11" t="n">
        <f aca="false">SUM(J544:J547)-J539</f>
        <v>0</v>
      </c>
      <c r="K540" s="11" t="n">
        <f aca="false">SUM(K544:K547)-K539</f>
        <v>0</v>
      </c>
      <c r="L540" s="11" t="n">
        <f aca="false">SUM(L544:L547)-L539</f>
        <v>0</v>
      </c>
      <c r="M540" s="11" t="n">
        <f aca="false">SUM(M544:M547)-M539</f>
        <v>0</v>
      </c>
      <c r="N540" s="11" t="n">
        <f aca="false">SUM(N544:N547)-N539</f>
        <v>0</v>
      </c>
      <c r="O540" s="11" t="n">
        <f aca="false">SUM(O544:O547)-O539</f>
        <v>0</v>
      </c>
      <c r="P540" s="11" t="n">
        <f aca="false">SUM(P544:P547)-P539</f>
        <v>0</v>
      </c>
      <c r="Q540" s="11" t="n">
        <f aca="false">SUM(Q544:Q547)-Q539</f>
        <v>0</v>
      </c>
      <c r="R540" s="12" t="e">
        <f aca="false">Q540/$P540</f>
        <v>#DIV/0!</v>
      </c>
      <c r="S540" s="11" t="n">
        <f aca="false">SUM(S544:S547)-S539</f>
        <v>0</v>
      </c>
      <c r="T540" s="12" t="e">
        <f aca="false">S540/$P540</f>
        <v>#DIV/0!</v>
      </c>
      <c r="U540" s="11" t="n">
        <f aca="false">SUM(U544:U547)-U539</f>
        <v>0</v>
      </c>
      <c r="V540" s="12" t="e">
        <f aca="false">U540/$P540</f>
        <v>#DIV/0!</v>
      </c>
      <c r="W540" s="11" t="n">
        <f aca="false">SUM(W544:W547)-W539</f>
        <v>0</v>
      </c>
      <c r="X540" s="12" t="e">
        <f aca="false">W540/$P540</f>
        <v>#DIV/0!</v>
      </c>
      <c r="Y540" s="11" t="n">
        <f aca="false">SUM(Y544:Y547)-Y539</f>
        <v>0</v>
      </c>
      <c r="Z540" s="11" t="n">
        <f aca="false">SUM(Z544:Z547)-Z539</f>
        <v>0</v>
      </c>
    </row>
    <row r="541" customFormat="false" ht="13.9" hidden="true" customHeight="true" outlineLevel="0" collapsed="false">
      <c r="A541" s="1" t="n">
        <v>8</v>
      </c>
      <c r="B541" s="1" t="n">
        <v>4</v>
      </c>
      <c r="D541" s="17"/>
      <c r="E541" s="18"/>
      <c r="F541" s="13" t="s">
        <v>122</v>
      </c>
      <c r="G541" s="14" t="n">
        <f aca="false">SUM(G539:G540)</f>
        <v>678933</v>
      </c>
      <c r="H541" s="14" t="n">
        <f aca="false">SUM(H539:H540)</f>
        <v>0</v>
      </c>
      <c r="I541" s="14" t="n">
        <f aca="false">SUM(I539:I540)</f>
        <v>0</v>
      </c>
      <c r="J541" s="14" t="n">
        <f aca="false">SUM(J539:J540)</f>
        <v>0</v>
      </c>
      <c r="K541" s="14" t="n">
        <f aca="false">SUM(K539:K540)</f>
        <v>0</v>
      </c>
      <c r="L541" s="14" t="n">
        <f aca="false">SUM(L539:L540)</f>
        <v>0</v>
      </c>
      <c r="M541" s="14" t="n">
        <f aca="false">SUM(M539:M540)</f>
        <v>0</v>
      </c>
      <c r="N541" s="14" t="n">
        <f aca="false">SUM(N539:N540)</f>
        <v>0</v>
      </c>
      <c r="O541" s="14" t="n">
        <f aca="false">SUM(O539:O540)</f>
        <v>0</v>
      </c>
      <c r="P541" s="14" t="n">
        <f aca="false">SUM(P539:P540)</f>
        <v>0</v>
      </c>
      <c r="Q541" s="14" t="n">
        <f aca="false">SUM(Q539:Q540)</f>
        <v>0</v>
      </c>
      <c r="R541" s="15" t="e">
        <f aca="false">Q541/$P541</f>
        <v>#DIV/0!</v>
      </c>
      <c r="S541" s="14" t="n">
        <f aca="false">SUM(S539:S540)</f>
        <v>0</v>
      </c>
      <c r="T541" s="15" t="e">
        <f aca="false">S541/$P541</f>
        <v>#DIV/0!</v>
      </c>
      <c r="U541" s="14" t="n">
        <f aca="false">SUM(U539:U540)</f>
        <v>0</v>
      </c>
      <c r="V541" s="15" t="e">
        <f aca="false">U541/$P541</f>
        <v>#DIV/0!</v>
      </c>
      <c r="W541" s="14" t="n">
        <f aca="false">SUM(W539:W540)</f>
        <v>0</v>
      </c>
      <c r="X541" s="15" t="e">
        <f aca="false">W541/$P541</f>
        <v>#DIV/0!</v>
      </c>
      <c r="Y541" s="14" t="n">
        <f aca="false">SUM(Y540:Y540)</f>
        <v>0</v>
      </c>
      <c r="Z541" s="14" t="n">
        <f aca="false">SUM(Z540:Z540)</f>
        <v>0</v>
      </c>
    </row>
    <row r="542" customFormat="false" ht="13.9" hidden="true" customHeight="true" outlineLevel="0" collapsed="false"/>
    <row r="543" customFormat="false" ht="13.9" hidden="true" customHeight="true" outlineLevel="0" collapsed="false">
      <c r="D543" s="1" t="s">
        <v>57</v>
      </c>
    </row>
    <row r="544" customFormat="false" ht="13.9" hidden="true" customHeight="true" outlineLevel="0" collapsed="false">
      <c r="D544" s="30" t="s">
        <v>300</v>
      </c>
      <c r="E544" s="39" t="s">
        <v>97</v>
      </c>
      <c r="F544" s="17"/>
      <c r="G544" s="40" t="n">
        <v>525970.88</v>
      </c>
      <c r="H544" s="40"/>
      <c r="I544" s="40" t="n">
        <v>0</v>
      </c>
      <c r="J544" s="40" t="n">
        <v>0</v>
      </c>
      <c r="K544" s="40"/>
      <c r="L544" s="40"/>
      <c r="M544" s="40"/>
      <c r="N544" s="40"/>
      <c r="O544" s="40"/>
      <c r="P544" s="40" t="n">
        <f aca="false">K544+SUM(L544:O544)</f>
        <v>0</v>
      </c>
      <c r="Q544" s="40"/>
      <c r="R544" s="41" t="e">
        <f aca="false">Q544/$P544</f>
        <v>#DIV/0!</v>
      </c>
      <c r="S544" s="40"/>
      <c r="T544" s="41" t="e">
        <f aca="false">S544/$P544</f>
        <v>#DIV/0!</v>
      </c>
      <c r="U544" s="40"/>
      <c r="V544" s="41" t="e">
        <f aca="false">U544/$P544</f>
        <v>#DIV/0!</v>
      </c>
      <c r="W544" s="40"/>
      <c r="X544" s="42" t="e">
        <f aca="false">W544/$P544</f>
        <v>#DIV/0!</v>
      </c>
      <c r="Y544" s="40"/>
      <c r="Z544" s="43"/>
    </row>
    <row r="545" customFormat="false" ht="13.9" hidden="true" customHeight="true" outlineLevel="0" collapsed="false">
      <c r="D545" s="30"/>
      <c r="E545" s="44" t="s">
        <v>301</v>
      </c>
      <c r="F545" s="83"/>
      <c r="G545" s="70" t="n">
        <v>5276.23</v>
      </c>
      <c r="H545" s="70"/>
      <c r="I545" s="70" t="n">
        <v>0</v>
      </c>
      <c r="J545" s="70" t="n">
        <v>0</v>
      </c>
      <c r="K545" s="70"/>
      <c r="L545" s="70"/>
      <c r="M545" s="70"/>
      <c r="N545" s="70"/>
      <c r="O545" s="70"/>
      <c r="P545" s="70" t="n">
        <f aca="false">K545+SUM(L545:O545)</f>
        <v>0</v>
      </c>
      <c r="Q545" s="70"/>
      <c r="R545" s="71" t="e">
        <f aca="false">Q545/$P545</f>
        <v>#DIV/0!</v>
      </c>
      <c r="S545" s="70"/>
      <c r="T545" s="71" t="e">
        <f aca="false">S545/$P545</f>
        <v>#DIV/0!</v>
      </c>
      <c r="U545" s="70"/>
      <c r="V545" s="71" t="e">
        <f aca="false">U545/$P545</f>
        <v>#DIV/0!</v>
      </c>
      <c r="W545" s="70"/>
      <c r="X545" s="47" t="e">
        <f aca="false">W545/$P545</f>
        <v>#DIV/0!</v>
      </c>
      <c r="Y545" s="70"/>
      <c r="Z545" s="48"/>
    </row>
    <row r="546" customFormat="false" ht="13.9" hidden="true" customHeight="true" outlineLevel="0" collapsed="false">
      <c r="D546" s="30"/>
      <c r="E546" s="52" t="s">
        <v>302</v>
      </c>
      <c r="F546" s="86"/>
      <c r="G546" s="54" t="n">
        <v>2783.37</v>
      </c>
      <c r="H546" s="54"/>
      <c r="I546" s="54" t="n">
        <v>0</v>
      </c>
      <c r="J546" s="54" t="n">
        <v>0</v>
      </c>
      <c r="K546" s="54"/>
      <c r="L546" s="54"/>
      <c r="M546" s="54"/>
      <c r="N546" s="54"/>
      <c r="O546" s="54"/>
      <c r="P546" s="54" t="n">
        <f aca="false">K546+SUM(L546:O546)</f>
        <v>0</v>
      </c>
      <c r="Q546" s="54"/>
      <c r="R546" s="55" t="e">
        <f aca="false">Q546/$P546</f>
        <v>#DIV/0!</v>
      </c>
      <c r="S546" s="54"/>
      <c r="T546" s="55" t="e">
        <f aca="false">S546/$P546</f>
        <v>#DIV/0!</v>
      </c>
      <c r="U546" s="54"/>
      <c r="V546" s="55" t="e">
        <f aca="false">U546/$P546</f>
        <v>#DIV/0!</v>
      </c>
      <c r="W546" s="54"/>
      <c r="X546" s="56" t="e">
        <f aca="false">W546/$P546</f>
        <v>#DIV/0!</v>
      </c>
      <c r="Y546" s="54"/>
      <c r="Z546" s="57"/>
    </row>
    <row r="547" customFormat="false" ht="13.9" hidden="true" customHeight="true" outlineLevel="0" collapsed="false">
      <c r="D547" s="10" t="s">
        <v>300</v>
      </c>
      <c r="E547" s="52" t="s">
        <v>303</v>
      </c>
      <c r="F547" s="86"/>
      <c r="G547" s="54" t="n">
        <v>144902.52</v>
      </c>
      <c r="H547" s="54"/>
      <c r="I547" s="54" t="n">
        <v>0</v>
      </c>
      <c r="J547" s="54" t="n">
        <v>0</v>
      </c>
      <c r="K547" s="54"/>
      <c r="L547" s="54"/>
      <c r="M547" s="54"/>
      <c r="N547" s="54"/>
      <c r="O547" s="54"/>
      <c r="P547" s="54" t="n">
        <f aca="false">K547+SUM(L547:O547)</f>
        <v>0</v>
      </c>
      <c r="Q547" s="54"/>
      <c r="R547" s="55" t="e">
        <f aca="false">Q547/$P547</f>
        <v>#DIV/0!</v>
      </c>
      <c r="S547" s="54"/>
      <c r="T547" s="55" t="e">
        <f aca="false">S547/$P547</f>
        <v>#DIV/0!</v>
      </c>
      <c r="U547" s="54"/>
      <c r="V547" s="55" t="e">
        <f aca="false">U547/$P547</f>
        <v>#DIV/0!</v>
      </c>
      <c r="W547" s="54"/>
      <c r="X547" s="56" t="e">
        <f aca="false">W547/$P547</f>
        <v>#DIV/0!</v>
      </c>
      <c r="Y547" s="54"/>
      <c r="Z547" s="57"/>
    </row>
    <row r="548" customFormat="false" ht="13.9" hidden="true" customHeight="true" outlineLevel="0" collapsed="false"/>
    <row r="549" customFormat="false" ht="13.9" hidden="false" customHeight="true" outlineLevel="0" collapsed="false">
      <c r="D549" s="28" t="s">
        <v>304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9"/>
      <c r="S549" s="28"/>
      <c r="T549" s="29"/>
      <c r="U549" s="28"/>
      <c r="V549" s="29"/>
      <c r="W549" s="28"/>
      <c r="X549" s="29"/>
      <c r="Y549" s="28"/>
      <c r="Z549" s="28"/>
    </row>
    <row r="550" customFormat="false" ht="13.9" hidden="false" customHeight="true" outlineLevel="0" collapsed="false">
      <c r="D550" s="121"/>
      <c r="E550" s="7"/>
      <c r="F550" s="7"/>
      <c r="G550" s="7" t="s">
        <v>1</v>
      </c>
      <c r="H550" s="7" t="s">
        <v>2</v>
      </c>
      <c r="I550" s="7" t="s">
        <v>3</v>
      </c>
      <c r="J550" s="7" t="s">
        <v>4</v>
      </c>
      <c r="K550" s="7" t="s">
        <v>5</v>
      </c>
      <c r="L550" s="7" t="s">
        <v>6</v>
      </c>
      <c r="M550" s="7" t="s">
        <v>7</v>
      </c>
      <c r="N550" s="7" t="s">
        <v>8</v>
      </c>
      <c r="O550" s="7" t="s">
        <v>9</v>
      </c>
      <c r="P550" s="7" t="s">
        <v>10</v>
      </c>
      <c r="Q550" s="7" t="s">
        <v>11</v>
      </c>
      <c r="R550" s="8" t="s">
        <v>12</v>
      </c>
      <c r="S550" s="7" t="s">
        <v>13</v>
      </c>
      <c r="T550" s="8" t="s">
        <v>14</v>
      </c>
      <c r="U550" s="7" t="s">
        <v>15</v>
      </c>
      <c r="V550" s="8" t="s">
        <v>16</v>
      </c>
      <c r="W550" s="7" t="s">
        <v>17</v>
      </c>
      <c r="X550" s="8" t="s">
        <v>18</v>
      </c>
      <c r="Y550" s="7" t="s">
        <v>19</v>
      </c>
      <c r="Z550" s="7" t="s">
        <v>20</v>
      </c>
    </row>
    <row r="551" customFormat="false" ht="13.9" hidden="false" customHeight="true" outlineLevel="0" collapsed="false">
      <c r="A551" s="1" t="n">
        <v>8</v>
      </c>
      <c r="B551" s="1" t="n">
        <v>5</v>
      </c>
      <c r="D551" s="30" t="s">
        <v>21</v>
      </c>
      <c r="E551" s="10" t="n">
        <v>111</v>
      </c>
      <c r="F551" s="10" t="s">
        <v>47</v>
      </c>
      <c r="G551" s="11" t="n">
        <v>0</v>
      </c>
      <c r="H551" s="11" t="n">
        <v>0</v>
      </c>
      <c r="I551" s="11" t="n">
        <v>170000</v>
      </c>
      <c r="J551" s="11" t="n">
        <v>0</v>
      </c>
      <c r="K551" s="11" t="n">
        <v>166698</v>
      </c>
      <c r="L551" s="11" t="n">
        <v>0</v>
      </c>
      <c r="M551" s="11" t="n">
        <v>0</v>
      </c>
      <c r="N551" s="11" t="n">
        <v>0</v>
      </c>
      <c r="O551" s="11" t="n">
        <v>0</v>
      </c>
      <c r="P551" s="11" t="n">
        <v>0</v>
      </c>
      <c r="Q551" s="11" t="n">
        <v>0</v>
      </c>
      <c r="R551" s="12" t="e">
        <f aca="false">Q551/$P551</f>
        <v>#DIV/0!</v>
      </c>
      <c r="S551" s="11" t="n">
        <v>0</v>
      </c>
      <c r="T551" s="12" t="e">
        <f aca="false">S551/$P551</f>
        <v>#DIV/0!</v>
      </c>
      <c r="U551" s="11" t="n">
        <v>0</v>
      </c>
      <c r="V551" s="12" t="e">
        <f aca="false">U551/$P551</f>
        <v>#DIV/0!</v>
      </c>
      <c r="W551" s="11" t="n">
        <v>0</v>
      </c>
      <c r="X551" s="12" t="e">
        <f aca="false">W551/$P551</f>
        <v>#DIV/0!</v>
      </c>
      <c r="Y551" s="11" t="n">
        <v>0</v>
      </c>
      <c r="Z551" s="11" t="n">
        <v>0</v>
      </c>
    </row>
    <row r="552" customFormat="false" ht="13.9" hidden="false" customHeight="true" outlineLevel="0" collapsed="false">
      <c r="A552" s="1" t="n">
        <v>8</v>
      </c>
      <c r="B552" s="1" t="n">
        <v>5</v>
      </c>
      <c r="D552" s="30"/>
      <c r="E552" s="10" t="n">
        <v>41</v>
      </c>
      <c r="F552" s="10" t="s">
        <v>23</v>
      </c>
      <c r="G552" s="11" t="n">
        <f aca="false">SUM(G556:G562)-G551</f>
        <v>39300</v>
      </c>
      <c r="H552" s="11" t="n">
        <f aca="false">SUM(H556:H562)-H551</f>
        <v>74155.57</v>
      </c>
      <c r="I552" s="11" t="n">
        <f aca="false">SUM(I556:I562)-I551</f>
        <v>334814</v>
      </c>
      <c r="J552" s="11" t="n">
        <f aca="false">SUM(J556:J562)-J551</f>
        <v>228510.6</v>
      </c>
      <c r="K552" s="11" t="n">
        <f aca="false">SUM(K556:K562)-K551</f>
        <v>245805</v>
      </c>
      <c r="L552" s="11" t="n">
        <f aca="false">SUM(L556:L562)-L551</f>
        <v>-200</v>
      </c>
      <c r="M552" s="11" t="n">
        <f aca="false">SUM(M556:M562)-M551</f>
        <v>-18285</v>
      </c>
      <c r="N552" s="11" t="n">
        <f aca="false">SUM(N556:N562)-N551</f>
        <v>2331</v>
      </c>
      <c r="O552" s="11" t="n">
        <f aca="false">SUM(O556:O562)-O551</f>
        <v>-10880</v>
      </c>
      <c r="P552" s="11" t="n">
        <f aca="false">SUM(P556:P562)-P551</f>
        <v>385469</v>
      </c>
      <c r="Q552" s="11" t="n">
        <f aca="false">SUM(Q556:Q562)-Q551</f>
        <v>1800</v>
      </c>
      <c r="R552" s="12" t="n">
        <f aca="false">Q552/$P552</f>
        <v>0.00466963620939687</v>
      </c>
      <c r="S552" s="11" t="n">
        <f aca="false">SUM(S556:S562)-S551</f>
        <v>19282.32</v>
      </c>
      <c r="T552" s="12" t="n">
        <f aca="false">S552/$P552</f>
        <v>0.050023010929543</v>
      </c>
      <c r="U552" s="11" t="n">
        <f aca="false">SUM(U556:U562)-U551</f>
        <v>131613.64</v>
      </c>
      <c r="V552" s="12" t="n">
        <f aca="false">U552/$P552</f>
        <v>0.34143767721918</v>
      </c>
      <c r="W552" s="11" t="n">
        <f aca="false">SUM(W556:W562)-W551</f>
        <v>167391.96</v>
      </c>
      <c r="X552" s="12" t="n">
        <f aca="false">W552/$P552</f>
        <v>0.434255309765506</v>
      </c>
      <c r="Y552" s="11" t="n">
        <f aca="false">SUM(Y556:Y562)</f>
        <v>0</v>
      </c>
      <c r="Z552" s="11" t="n">
        <f aca="false">SUM(Z556:Z562)</f>
        <v>683907</v>
      </c>
    </row>
    <row r="553" customFormat="false" ht="13.9" hidden="false" customHeight="true" outlineLevel="0" collapsed="false">
      <c r="A553" s="1" t="n">
        <v>8</v>
      </c>
      <c r="B553" s="1" t="n">
        <v>5</v>
      </c>
      <c r="D553" s="17"/>
      <c r="E553" s="18"/>
      <c r="F553" s="13" t="s">
        <v>122</v>
      </c>
      <c r="G553" s="14" t="n">
        <f aca="false">SUM(G551:G552)</f>
        <v>39300</v>
      </c>
      <c r="H553" s="14" t="n">
        <f aca="false">SUM(H551:H552)</f>
        <v>74155.57</v>
      </c>
      <c r="I553" s="14" t="n">
        <f aca="false">SUM(I551:I552)</f>
        <v>504814</v>
      </c>
      <c r="J553" s="14" t="n">
        <f aca="false">SUM(J551:J552)</f>
        <v>228510.6</v>
      </c>
      <c r="K553" s="14" t="n">
        <f aca="false">SUM(K551:K552)</f>
        <v>412503</v>
      </c>
      <c r="L553" s="14" t="n">
        <f aca="false">SUM(L551:L552)</f>
        <v>-200</v>
      </c>
      <c r="M553" s="14" t="n">
        <f aca="false">SUM(M551:M552)</f>
        <v>-18285</v>
      </c>
      <c r="N553" s="14" t="n">
        <f aca="false">SUM(N551:N552)</f>
        <v>2331</v>
      </c>
      <c r="O553" s="14" t="n">
        <f aca="false">SUM(O551:O552)</f>
        <v>-10880</v>
      </c>
      <c r="P553" s="14" t="n">
        <f aca="false">SUM(P551:P552)</f>
        <v>385469</v>
      </c>
      <c r="Q553" s="14" t="n">
        <f aca="false">SUM(Q551:Q552)</f>
        <v>1800</v>
      </c>
      <c r="R553" s="15" t="n">
        <f aca="false">Q553/$P553</f>
        <v>0.00466963620939687</v>
      </c>
      <c r="S553" s="14" t="n">
        <f aca="false">SUM(S551:S552)</f>
        <v>19282.32</v>
      </c>
      <c r="T553" s="15" t="n">
        <f aca="false">S553/$P553</f>
        <v>0.050023010929543</v>
      </c>
      <c r="U553" s="14" t="n">
        <f aca="false">SUM(U551:U552)</f>
        <v>131613.64</v>
      </c>
      <c r="V553" s="15" t="n">
        <f aca="false">U553/$P553</f>
        <v>0.34143767721918</v>
      </c>
      <c r="W553" s="14" t="n">
        <f aca="false">SUM(W551:W552)</f>
        <v>167391.96</v>
      </c>
      <c r="X553" s="15" t="n">
        <f aca="false">W553/$P553</f>
        <v>0.434255309765506</v>
      </c>
      <c r="Y553" s="14" t="n">
        <f aca="false">SUM(Y551:Y552)</f>
        <v>0</v>
      </c>
      <c r="Z553" s="14" t="n">
        <f aca="false">SUM(Z551:Z552)</f>
        <v>683907</v>
      </c>
    </row>
    <row r="555" customFormat="false" ht="13.9" hidden="false" customHeight="true" outlineLevel="0" collapsed="false">
      <c r="D555" s="1" t="s">
        <v>57</v>
      </c>
    </row>
    <row r="556" customFormat="false" ht="13.9" hidden="false" customHeight="true" outlineLevel="0" collapsed="false">
      <c r="D556" s="30" t="s">
        <v>305</v>
      </c>
      <c r="E556" s="100" t="s">
        <v>306</v>
      </c>
      <c r="F556" s="106"/>
      <c r="G556" s="108"/>
      <c r="H556" s="107" t="n">
        <v>20209.86</v>
      </c>
      <c r="I556" s="107"/>
      <c r="J556" s="107"/>
      <c r="K556" s="107" t="n">
        <v>124430</v>
      </c>
      <c r="L556" s="107" t="n">
        <v>-2000</v>
      </c>
      <c r="M556" s="107" t="n">
        <f aca="false">-14430+2000</f>
        <v>-12430</v>
      </c>
      <c r="N556" s="107" t="n">
        <v>2331</v>
      </c>
      <c r="O556" s="107"/>
      <c r="P556" s="107" t="n">
        <f aca="false">K556+SUM(L556:O556)</f>
        <v>112331</v>
      </c>
      <c r="Q556" s="107" t="n">
        <v>0</v>
      </c>
      <c r="R556" s="115" t="n">
        <f aca="false">Q556/$P556</f>
        <v>0</v>
      </c>
      <c r="S556" s="107" t="n">
        <v>0</v>
      </c>
      <c r="T556" s="115" t="n">
        <f aca="false">S556/$P556</f>
        <v>0</v>
      </c>
      <c r="U556" s="107" t="n">
        <v>112331.32</v>
      </c>
      <c r="V556" s="115" t="n">
        <f aca="false">U556/$P556</f>
        <v>1.00000284872386</v>
      </c>
      <c r="W556" s="107" t="n">
        <v>112331.32</v>
      </c>
      <c r="X556" s="116" t="n">
        <f aca="false">W556/$P556</f>
        <v>1.00000284872386</v>
      </c>
      <c r="Y556" s="108"/>
      <c r="Z556" s="111"/>
    </row>
    <row r="557" customFormat="false" ht="13.9" hidden="true" customHeight="true" outlineLevel="0" collapsed="false">
      <c r="D557" s="30" t="s">
        <v>307</v>
      </c>
      <c r="E557" s="100" t="s">
        <v>308</v>
      </c>
      <c r="F557" s="106"/>
      <c r="G557" s="108"/>
      <c r="H557" s="108" t="n">
        <v>50367.76</v>
      </c>
      <c r="I557" s="108"/>
      <c r="J557" s="108"/>
      <c r="K557" s="108"/>
      <c r="L557" s="108"/>
      <c r="M557" s="108"/>
      <c r="N557" s="108"/>
      <c r="O557" s="108"/>
      <c r="P557" s="108" t="n">
        <f aca="false">K557+SUM(L557:O557)</f>
        <v>0</v>
      </c>
      <c r="Q557" s="108"/>
      <c r="R557" s="109" t="e">
        <f aca="false">Q557/$P557</f>
        <v>#DIV/0!</v>
      </c>
      <c r="S557" s="108"/>
      <c r="T557" s="109" t="e">
        <f aca="false">S557/$P557</f>
        <v>#DIV/0!</v>
      </c>
      <c r="U557" s="108"/>
      <c r="V557" s="109" t="e">
        <f aca="false">U557/$P557</f>
        <v>#DIV/0!</v>
      </c>
      <c r="W557" s="108"/>
      <c r="X557" s="110" t="e">
        <f aca="false">W557/$P557</f>
        <v>#DIV/0!</v>
      </c>
      <c r="Y557" s="108"/>
      <c r="Z557" s="111"/>
    </row>
    <row r="558" customFormat="false" ht="13.9" hidden="true" customHeight="true" outlineLevel="0" collapsed="false">
      <c r="D558" s="122" t="s">
        <v>307</v>
      </c>
      <c r="E558" s="39" t="s">
        <v>309</v>
      </c>
      <c r="F558" s="17"/>
      <c r="G558" s="40" t="n">
        <v>37800</v>
      </c>
      <c r="H558" s="40" t="n">
        <v>223.9</v>
      </c>
      <c r="I558" s="40" t="n">
        <v>3840</v>
      </c>
      <c r="J558" s="40" t="n">
        <v>5028</v>
      </c>
      <c r="K558" s="40"/>
      <c r="L558" s="40"/>
      <c r="M558" s="40"/>
      <c r="N558" s="40"/>
      <c r="O558" s="40"/>
      <c r="P558" s="40" t="n">
        <f aca="false">K558+SUM(L558:O558)</f>
        <v>0</v>
      </c>
      <c r="Q558" s="40"/>
      <c r="R558" s="41" t="e">
        <f aca="false">Q558/$P558</f>
        <v>#DIV/0!</v>
      </c>
      <c r="S558" s="40"/>
      <c r="T558" s="41" t="e">
        <f aca="false">S558/$P558</f>
        <v>#DIV/0!</v>
      </c>
      <c r="U558" s="40"/>
      <c r="V558" s="41" t="e">
        <f aca="false">U558/$P558</f>
        <v>#DIV/0!</v>
      </c>
      <c r="W558" s="40"/>
      <c r="X558" s="42" t="e">
        <f aca="false">W558/$P558</f>
        <v>#DIV/0!</v>
      </c>
      <c r="Y558" s="40"/>
      <c r="Z558" s="43"/>
    </row>
    <row r="559" customFormat="false" ht="13.9" hidden="false" customHeight="true" outlineLevel="0" collapsed="false">
      <c r="D559" s="122" t="s">
        <v>307</v>
      </c>
      <c r="E559" s="52" t="s">
        <v>310</v>
      </c>
      <c r="F559" s="86"/>
      <c r="G559" s="54"/>
      <c r="H559" s="54"/>
      <c r="I559" s="54"/>
      <c r="J559" s="54"/>
      <c r="K559" s="54"/>
      <c r="L559" s="54" t="n">
        <v>1800</v>
      </c>
      <c r="M559" s="54"/>
      <c r="N559" s="54"/>
      <c r="O559" s="54"/>
      <c r="P559" s="54" t="n">
        <f aca="false">K559+SUM(L559:O559)</f>
        <v>1800</v>
      </c>
      <c r="Q559" s="54" t="n">
        <v>1800</v>
      </c>
      <c r="R559" s="55" t="n">
        <f aca="false">Q559/$P559</f>
        <v>1</v>
      </c>
      <c r="S559" s="54" t="n">
        <v>1800</v>
      </c>
      <c r="T559" s="55" t="n">
        <f aca="false">S559/$P559</f>
        <v>1</v>
      </c>
      <c r="U559" s="54" t="n">
        <v>1800</v>
      </c>
      <c r="V559" s="55" t="n">
        <f aca="false">U559/$P559</f>
        <v>1</v>
      </c>
      <c r="W559" s="54" t="n">
        <v>1800</v>
      </c>
      <c r="X559" s="56" t="n">
        <f aca="false">W559/$P559</f>
        <v>1</v>
      </c>
      <c r="Y559" s="54"/>
      <c r="Z559" s="126" t="n">
        <v>683907</v>
      </c>
    </row>
    <row r="560" customFormat="false" ht="13.9" hidden="false" customHeight="true" outlineLevel="0" collapsed="false">
      <c r="D560" s="122" t="s">
        <v>307</v>
      </c>
      <c r="E560" s="52" t="s">
        <v>311</v>
      </c>
      <c r="F560" s="86"/>
      <c r="G560" s="54"/>
      <c r="H560" s="54" t="n">
        <v>1200</v>
      </c>
      <c r="I560" s="54" t="n">
        <f aca="false">170000+10000</f>
        <v>180000</v>
      </c>
      <c r="J560" s="54" t="n">
        <v>0</v>
      </c>
      <c r="K560" s="87" t="n">
        <f aca="false">166698+8774</f>
        <v>175472</v>
      </c>
      <c r="L560" s="54"/>
      <c r="M560" s="54"/>
      <c r="N560" s="54"/>
      <c r="O560" s="54"/>
      <c r="P560" s="54" t="n">
        <f aca="false">K560+SUM(L560:O560)</f>
        <v>175472</v>
      </c>
      <c r="Q560" s="54" t="n">
        <v>0</v>
      </c>
      <c r="R560" s="55" t="n">
        <f aca="false">Q560/$P560</f>
        <v>0</v>
      </c>
      <c r="S560" s="54" t="n">
        <v>0</v>
      </c>
      <c r="T560" s="55" t="n">
        <f aca="false">S560/$P560</f>
        <v>0</v>
      </c>
      <c r="U560" s="54" t="n">
        <v>0</v>
      </c>
      <c r="V560" s="55" t="n">
        <f aca="false">U560/$P560</f>
        <v>0</v>
      </c>
      <c r="W560" s="54" t="n">
        <v>500</v>
      </c>
      <c r="X560" s="56" t="n">
        <f aca="false">W560/$P560</f>
        <v>0.00284945746329899</v>
      </c>
      <c r="Y560" s="107"/>
      <c r="Z560" s="127"/>
    </row>
    <row r="561" customFormat="false" ht="13.9" hidden="false" customHeight="true" outlineLevel="0" collapsed="false">
      <c r="D561" s="1" t="s">
        <v>312</v>
      </c>
      <c r="E561" s="100" t="s">
        <v>313</v>
      </c>
      <c r="F561" s="106"/>
      <c r="G561" s="108"/>
      <c r="H561" s="108" t="n">
        <v>2154.05</v>
      </c>
      <c r="I561" s="107" t="n">
        <f aca="false">25994+214980</f>
        <v>240974</v>
      </c>
      <c r="J561" s="108" t="n">
        <v>218186.4</v>
      </c>
      <c r="K561" s="108" t="n">
        <v>12601</v>
      </c>
      <c r="L561" s="108"/>
      <c r="M561" s="108" t="n">
        <v>4881</v>
      </c>
      <c r="N561" s="108"/>
      <c r="O561" s="108"/>
      <c r="P561" s="108" t="n">
        <f aca="false">K561+SUM(L561:O561)</f>
        <v>17482</v>
      </c>
      <c r="Q561" s="108" t="n">
        <v>0</v>
      </c>
      <c r="R561" s="109" t="n">
        <f aca="false">Q561/$P561</f>
        <v>0</v>
      </c>
      <c r="S561" s="108" t="n">
        <v>17482.32</v>
      </c>
      <c r="T561" s="109" t="n">
        <f aca="false">S561/$P561</f>
        <v>1.00001830454181</v>
      </c>
      <c r="U561" s="108" t="n">
        <v>17482.32</v>
      </c>
      <c r="V561" s="109" t="n">
        <f aca="false">U561/$P561</f>
        <v>1.00001830454181</v>
      </c>
      <c r="W561" s="108" t="n">
        <v>17482.32</v>
      </c>
      <c r="X561" s="110" t="n">
        <f aca="false">W561/$P561</f>
        <v>1.00001830454181</v>
      </c>
      <c r="Y561" s="108"/>
      <c r="Z561" s="111"/>
    </row>
    <row r="562" customFormat="false" ht="13.9" hidden="false" customHeight="true" outlineLevel="0" collapsed="false">
      <c r="D562" s="30" t="s">
        <v>314</v>
      </c>
      <c r="E562" s="128" t="s">
        <v>315</v>
      </c>
      <c r="F562" s="106"/>
      <c r="G562" s="108" t="n">
        <v>1500</v>
      </c>
      <c r="H562" s="108"/>
      <c r="I562" s="108" t="n">
        <v>80000</v>
      </c>
      <c r="J562" s="108" t="n">
        <v>5296.2</v>
      </c>
      <c r="K562" s="108" t="n">
        <v>100000</v>
      </c>
      <c r="L562" s="108"/>
      <c r="M562" s="108" t="n">
        <f aca="false">-12736+2000</f>
        <v>-10736</v>
      </c>
      <c r="N562" s="108"/>
      <c r="O562" s="108" t="n">
        <v>-10880</v>
      </c>
      <c r="P562" s="108" t="n">
        <f aca="false">K562+SUM(L562:O562)</f>
        <v>78384</v>
      </c>
      <c r="Q562" s="108" t="n">
        <v>0</v>
      </c>
      <c r="R562" s="109" t="n">
        <f aca="false">Q562/$P562</f>
        <v>0</v>
      </c>
      <c r="S562" s="108" t="n">
        <v>0</v>
      </c>
      <c r="T562" s="109" t="n">
        <f aca="false">S562/$P562</f>
        <v>0</v>
      </c>
      <c r="U562" s="108" t="n">
        <v>0</v>
      </c>
      <c r="V562" s="109" t="n">
        <f aca="false">U562/$P562</f>
        <v>0</v>
      </c>
      <c r="W562" s="108" t="n">
        <v>35278.32</v>
      </c>
      <c r="X562" s="110" t="n">
        <f aca="false">W562/$P562</f>
        <v>0.450070422535211</v>
      </c>
      <c r="Y562" s="106"/>
      <c r="Z562" s="129"/>
    </row>
    <row r="564" customFormat="false" ht="13.9" hidden="false" customHeight="true" outlineLevel="0" collapsed="false">
      <c r="D564" s="28" t="s">
        <v>316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9"/>
      <c r="S564" s="28"/>
      <c r="T564" s="29"/>
      <c r="U564" s="28"/>
      <c r="V564" s="29"/>
      <c r="W564" s="28"/>
      <c r="X564" s="29"/>
      <c r="Y564" s="28"/>
      <c r="Z564" s="28"/>
    </row>
    <row r="565" customFormat="false" ht="13.9" hidden="false" customHeight="true" outlineLevel="0" collapsed="false">
      <c r="D565" s="121"/>
      <c r="E565" s="7"/>
      <c r="F565" s="7"/>
      <c r="G565" s="7" t="s">
        <v>1</v>
      </c>
      <c r="H565" s="7" t="s">
        <v>2</v>
      </c>
      <c r="I565" s="7" t="s">
        <v>3</v>
      </c>
      <c r="J565" s="7" t="s">
        <v>4</v>
      </c>
      <c r="K565" s="7" t="s">
        <v>5</v>
      </c>
      <c r="L565" s="7" t="s">
        <v>6</v>
      </c>
      <c r="M565" s="7" t="s">
        <v>7</v>
      </c>
      <c r="N565" s="7" t="s">
        <v>8</v>
      </c>
      <c r="O565" s="7" t="s">
        <v>9</v>
      </c>
      <c r="P565" s="7" t="s">
        <v>10</v>
      </c>
      <c r="Q565" s="7" t="s">
        <v>11</v>
      </c>
      <c r="R565" s="8" t="s">
        <v>12</v>
      </c>
      <c r="S565" s="7" t="s">
        <v>13</v>
      </c>
      <c r="T565" s="8" t="s">
        <v>14</v>
      </c>
      <c r="U565" s="7" t="s">
        <v>15</v>
      </c>
      <c r="V565" s="8" t="s">
        <v>16</v>
      </c>
      <c r="W565" s="7" t="s">
        <v>17</v>
      </c>
      <c r="X565" s="8" t="s">
        <v>18</v>
      </c>
      <c r="Y565" s="7" t="s">
        <v>19</v>
      </c>
      <c r="Z565" s="7" t="s">
        <v>20</v>
      </c>
    </row>
    <row r="566" customFormat="false" ht="13.9" hidden="true" customHeight="true" outlineLevel="0" collapsed="false">
      <c r="A566" s="1" t="n">
        <v>8</v>
      </c>
      <c r="B566" s="1" t="n">
        <v>6</v>
      </c>
      <c r="D566" s="123" t="s">
        <v>21</v>
      </c>
      <c r="E566" s="10" t="n">
        <v>111</v>
      </c>
      <c r="F566" s="10" t="s">
        <v>132</v>
      </c>
      <c r="G566" s="11" t="n">
        <v>0</v>
      </c>
      <c r="H566" s="11" t="n">
        <v>0</v>
      </c>
      <c r="I566" s="11" t="n">
        <v>0</v>
      </c>
      <c r="J566" s="11" t="n">
        <v>0</v>
      </c>
      <c r="K566" s="11" t="n">
        <v>0</v>
      </c>
      <c r="L566" s="11" t="n">
        <v>0</v>
      </c>
      <c r="M566" s="11" t="n">
        <v>0</v>
      </c>
      <c r="N566" s="11" t="n">
        <v>0</v>
      </c>
      <c r="O566" s="11" t="n">
        <v>0</v>
      </c>
      <c r="P566" s="11" t="n">
        <v>0</v>
      </c>
      <c r="Q566" s="11" t="n">
        <v>0</v>
      </c>
      <c r="R566" s="12" t="e">
        <f aca="false">Q566/$P566</f>
        <v>#DIV/0!</v>
      </c>
      <c r="S566" s="11" t="n">
        <v>0</v>
      </c>
      <c r="T566" s="12" t="e">
        <f aca="false">S566/$P566</f>
        <v>#DIV/0!</v>
      </c>
      <c r="U566" s="11" t="n">
        <v>0</v>
      </c>
      <c r="V566" s="12" t="e">
        <f aca="false">U566/$P566</f>
        <v>#DIV/0!</v>
      </c>
      <c r="W566" s="11" t="n">
        <v>0</v>
      </c>
      <c r="X566" s="12" t="e">
        <f aca="false">W566/$P566</f>
        <v>#DIV/0!</v>
      </c>
      <c r="Y566" s="11" t="n">
        <f aca="false">SUM(Y570:Y570)</f>
        <v>0</v>
      </c>
      <c r="Z566" s="11" t="n">
        <f aca="false">SUM(Z570:Z570)</f>
        <v>0</v>
      </c>
    </row>
    <row r="567" customFormat="false" ht="13.9" hidden="false" customHeight="true" outlineLevel="0" collapsed="false">
      <c r="A567" s="1" t="n">
        <v>8</v>
      </c>
      <c r="B567" s="1" t="n">
        <v>6</v>
      </c>
      <c r="D567" s="123" t="s">
        <v>21</v>
      </c>
      <c r="E567" s="10" t="n">
        <v>41</v>
      </c>
      <c r="F567" s="10" t="s">
        <v>23</v>
      </c>
      <c r="G567" s="11" t="n">
        <f aca="false">SUM(G571:G575)</f>
        <v>86624.64</v>
      </c>
      <c r="H567" s="11" t="n">
        <f aca="false">SUM(H571:H575)</f>
        <v>13652.03</v>
      </c>
      <c r="I567" s="11" t="n">
        <f aca="false">SUM(I571:I575)-I566</f>
        <v>120000</v>
      </c>
      <c r="J567" s="11" t="n">
        <f aca="false">SUM(J571:J575)-J566</f>
        <v>98871.97</v>
      </c>
      <c r="K567" s="11" t="n">
        <f aca="false">SUM(K571:K575)-K566</f>
        <v>99920</v>
      </c>
      <c r="L567" s="11" t="n">
        <f aca="false">SUM(L571:L575)-L566</f>
        <v>0</v>
      </c>
      <c r="M567" s="11" t="n">
        <f aca="false">SUM(M571:M575)-M566</f>
        <v>-25946</v>
      </c>
      <c r="N567" s="11" t="n">
        <f aca="false">SUM(N571:N575)-N566</f>
        <v>-16153</v>
      </c>
      <c r="O567" s="11" t="n">
        <f aca="false">SUM(O571:O575)-O566</f>
        <v>0</v>
      </c>
      <c r="P567" s="11" t="n">
        <f aca="false">SUM(P571:P575)-P566</f>
        <v>57821</v>
      </c>
      <c r="Q567" s="11" t="n">
        <f aca="false">SUM(Q571:Q575)-Q566</f>
        <v>497.76</v>
      </c>
      <c r="R567" s="12" t="n">
        <f aca="false">Q567/$P567</f>
        <v>0.00860863700039778</v>
      </c>
      <c r="S567" s="11" t="n">
        <f aca="false">SUM(S571:S575)-S566</f>
        <v>22868.47</v>
      </c>
      <c r="T567" s="12" t="n">
        <f aca="false">S567/$P567</f>
        <v>0.395504574462566</v>
      </c>
      <c r="U567" s="11" t="n">
        <f aca="false">SUM(U571:U575)-U566</f>
        <v>32584.89</v>
      </c>
      <c r="V567" s="12" t="n">
        <f aca="false">U567/$P567</f>
        <v>0.563547672990782</v>
      </c>
      <c r="W567" s="11" t="n">
        <f aca="false">SUM(W571:W575)-W566</f>
        <v>51253.74</v>
      </c>
      <c r="X567" s="12" t="n">
        <f aca="false">W567/$P567</f>
        <v>0.886420850556026</v>
      </c>
      <c r="Y567" s="11" t="n">
        <f aca="false">SUM(Y571:Y575)-Y566</f>
        <v>0</v>
      </c>
      <c r="Z567" s="11" t="n">
        <f aca="false">SUM(Z571:Z575)-Z566</f>
        <v>0</v>
      </c>
    </row>
    <row r="568" customFormat="false" ht="13.9" hidden="false" customHeight="true" outlineLevel="0" collapsed="false">
      <c r="A568" s="1" t="n">
        <v>8</v>
      </c>
      <c r="B568" s="1" t="n">
        <v>6</v>
      </c>
      <c r="D568" s="17"/>
      <c r="E568" s="18"/>
      <c r="F568" s="13" t="s">
        <v>122</v>
      </c>
      <c r="G568" s="14" t="n">
        <f aca="false">SUM(G566:G567)</f>
        <v>86624.64</v>
      </c>
      <c r="H568" s="14" t="n">
        <f aca="false">SUM(H566:H567)</f>
        <v>13652.03</v>
      </c>
      <c r="I568" s="14" t="n">
        <f aca="false">SUM(I566:I567)</f>
        <v>120000</v>
      </c>
      <c r="J568" s="14" t="n">
        <f aca="false">SUM(J566:J567)</f>
        <v>98871.97</v>
      </c>
      <c r="K568" s="14" t="n">
        <f aca="false">SUM(K566:K567)</f>
        <v>99920</v>
      </c>
      <c r="L568" s="14" t="n">
        <f aca="false">SUM(L566:L567)</f>
        <v>0</v>
      </c>
      <c r="M568" s="14" t="n">
        <f aca="false">SUM(M566:M567)</f>
        <v>-25946</v>
      </c>
      <c r="N568" s="14" t="n">
        <f aca="false">SUM(N566:N567)</f>
        <v>-16153</v>
      </c>
      <c r="O568" s="14" t="n">
        <f aca="false">SUM(O566:O567)</f>
        <v>0</v>
      </c>
      <c r="P568" s="14" t="n">
        <f aca="false">SUM(P566:P567)</f>
        <v>57821</v>
      </c>
      <c r="Q568" s="14" t="n">
        <f aca="false">SUM(Q566:Q567)</f>
        <v>497.76</v>
      </c>
      <c r="R568" s="15" t="n">
        <f aca="false">Q568/$P568</f>
        <v>0.00860863700039778</v>
      </c>
      <c r="S568" s="14" t="n">
        <f aca="false">SUM(S566:S567)</f>
        <v>22868.47</v>
      </c>
      <c r="T568" s="15" t="n">
        <f aca="false">S568/$P568</f>
        <v>0.395504574462566</v>
      </c>
      <c r="U568" s="14" t="n">
        <f aca="false">SUM(U566:U567)</f>
        <v>32584.89</v>
      </c>
      <c r="V568" s="15" t="n">
        <f aca="false">U568/$P568</f>
        <v>0.563547672990782</v>
      </c>
      <c r="W568" s="14" t="n">
        <f aca="false">SUM(W566:W567)</f>
        <v>51253.74</v>
      </c>
      <c r="X568" s="15" t="n">
        <f aca="false">W568/$P568</f>
        <v>0.886420850556026</v>
      </c>
      <c r="Y568" s="14" t="n">
        <f aca="false">SUM(Y566:Y567)</f>
        <v>0</v>
      </c>
      <c r="Z568" s="14" t="n">
        <f aca="false">SUM(Z566:Z567)</f>
        <v>0</v>
      </c>
    </row>
    <row r="570" customFormat="false" ht="13.9" hidden="false" customHeight="true" outlineLevel="0" collapsed="false">
      <c r="D570" s="1" t="s">
        <v>57</v>
      </c>
    </row>
    <row r="571" customFormat="false" ht="13.9" hidden="false" customHeight="true" outlineLevel="0" collapsed="false">
      <c r="D571" s="30" t="s">
        <v>317</v>
      </c>
      <c r="E571" s="39" t="s">
        <v>318</v>
      </c>
      <c r="F571" s="17"/>
      <c r="G571" s="40" t="n">
        <v>66156.45</v>
      </c>
      <c r="H571" s="40" t="n">
        <f aca="false">4320.43+110</f>
        <v>4430.43</v>
      </c>
      <c r="I571" s="40" t="n">
        <f aca="false">80000+40000</f>
        <v>120000</v>
      </c>
      <c r="J571" s="40" t="n">
        <v>98871.97</v>
      </c>
      <c r="K571" s="40" t="n">
        <v>20000</v>
      </c>
      <c r="L571" s="40"/>
      <c r="M571" s="40" t="n">
        <f aca="false">-4400-450</f>
        <v>-4850</v>
      </c>
      <c r="N571" s="40" t="n">
        <v>3767</v>
      </c>
      <c r="O571" s="40"/>
      <c r="P571" s="40" t="n">
        <f aca="false">K571+SUM(L571:O571)</f>
        <v>18917</v>
      </c>
      <c r="Q571" s="40" t="n">
        <v>497.76</v>
      </c>
      <c r="R571" s="41" t="n">
        <f aca="false">Q571/$P571</f>
        <v>0.0263128403023735</v>
      </c>
      <c r="S571" s="40" t="n">
        <v>11137.72</v>
      </c>
      <c r="T571" s="41" t="n">
        <f aca="false">S571/$P571</f>
        <v>0.58876777501718</v>
      </c>
      <c r="U571" s="40" t="n">
        <v>15551.91</v>
      </c>
      <c r="V571" s="41" t="n">
        <f aca="false">U571/$P571</f>
        <v>0.82211291430988</v>
      </c>
      <c r="W571" s="40" t="n">
        <v>15964.89</v>
      </c>
      <c r="X571" s="42" t="n">
        <f aca="false">W571/$P571</f>
        <v>0.843944071470106</v>
      </c>
      <c r="Y571" s="40"/>
      <c r="Z571" s="43"/>
    </row>
    <row r="572" customFormat="false" ht="13.9" hidden="false" customHeight="true" outlineLevel="0" collapsed="false">
      <c r="D572" s="30"/>
      <c r="E572" s="52" t="s">
        <v>319</v>
      </c>
      <c r="F572" s="86"/>
      <c r="G572" s="54"/>
      <c r="H572" s="54"/>
      <c r="I572" s="54"/>
      <c r="J572" s="54"/>
      <c r="K572" s="54" t="n">
        <v>19920</v>
      </c>
      <c r="L572" s="54"/>
      <c r="M572" s="54"/>
      <c r="N572" s="54" t="n">
        <v>-19920</v>
      </c>
      <c r="O572" s="54"/>
      <c r="P572" s="70" t="n">
        <f aca="false">K572+SUM(L572:O572)</f>
        <v>0</v>
      </c>
      <c r="Q572" s="54" t="n">
        <v>0</v>
      </c>
      <c r="R572" s="55" t="e">
        <f aca="false">Q572/$P572</f>
        <v>#DIV/0!</v>
      </c>
      <c r="S572" s="54" t="n">
        <v>0</v>
      </c>
      <c r="T572" s="55" t="e">
        <f aca="false">S572/$P572</f>
        <v>#DIV/0!</v>
      </c>
      <c r="U572" s="54" t="n">
        <v>0</v>
      </c>
      <c r="V572" s="55" t="e">
        <f aca="false">U572/$P572</f>
        <v>#DIV/0!</v>
      </c>
      <c r="W572" s="54" t="n">
        <v>0</v>
      </c>
      <c r="X572" s="56" t="e">
        <f aca="false">W572/$P572</f>
        <v>#DIV/0!</v>
      </c>
      <c r="Y572" s="54"/>
      <c r="Z572" s="57"/>
    </row>
    <row r="573" customFormat="false" ht="13.9" hidden="false" customHeight="true" outlineLevel="0" collapsed="false">
      <c r="D573" s="130" t="s">
        <v>320</v>
      </c>
      <c r="E573" s="44" t="s">
        <v>321</v>
      </c>
      <c r="F573" s="83"/>
      <c r="G573" s="70"/>
      <c r="H573" s="70" t="n">
        <v>3012</v>
      </c>
      <c r="I573" s="70"/>
      <c r="J573" s="70"/>
      <c r="K573" s="70" t="n">
        <v>30000</v>
      </c>
      <c r="L573" s="70"/>
      <c r="M573" s="70"/>
      <c r="N573" s="70"/>
      <c r="O573" s="70"/>
      <c r="P573" s="40" t="n">
        <f aca="false">K573+SUM(L573:O573)</f>
        <v>30000</v>
      </c>
      <c r="Q573" s="70" t="n">
        <v>0</v>
      </c>
      <c r="R573" s="41" t="n">
        <f aca="false">Q573/$P573</f>
        <v>0</v>
      </c>
      <c r="S573" s="70" t="n">
        <v>2826.75</v>
      </c>
      <c r="T573" s="41" t="n">
        <f aca="false">S573/$P573</f>
        <v>0.094225</v>
      </c>
      <c r="U573" s="70" t="n">
        <v>8128.98</v>
      </c>
      <c r="V573" s="41" t="n">
        <f aca="false">U573/$P573</f>
        <v>0.270966</v>
      </c>
      <c r="W573" s="70" t="n">
        <v>26384.85</v>
      </c>
      <c r="X573" s="42" t="n">
        <f aca="false">W573/$P573</f>
        <v>0.879495</v>
      </c>
      <c r="Y573" s="70"/>
      <c r="Z573" s="48"/>
    </row>
    <row r="574" customFormat="false" ht="13.9" hidden="false" customHeight="true" outlineLevel="0" collapsed="false">
      <c r="D574" s="130"/>
      <c r="E574" s="52" t="s">
        <v>322</v>
      </c>
      <c r="F574" s="86"/>
      <c r="G574" s="54" t="n">
        <v>20468.19</v>
      </c>
      <c r="H574" s="54" t="n">
        <v>2129.6</v>
      </c>
      <c r="I574" s="54"/>
      <c r="J574" s="54"/>
      <c r="K574" s="54" t="n">
        <v>30000</v>
      </c>
      <c r="L574" s="54"/>
      <c r="M574" s="54" t="n">
        <v>-21096</v>
      </c>
      <c r="N574" s="54"/>
      <c r="O574" s="54"/>
      <c r="P574" s="54" t="n">
        <f aca="false">K574+SUM(L574:O574)</f>
        <v>8904</v>
      </c>
      <c r="Q574" s="54" t="n">
        <v>0</v>
      </c>
      <c r="R574" s="55" t="n">
        <f aca="false">Q574/$P574</f>
        <v>0</v>
      </c>
      <c r="S574" s="54" t="n">
        <v>8904</v>
      </c>
      <c r="T574" s="55" t="n">
        <f aca="false">S574/$P574</f>
        <v>1</v>
      </c>
      <c r="U574" s="54" t="n">
        <v>8904</v>
      </c>
      <c r="V574" s="55" t="n">
        <f aca="false">U574/$P574</f>
        <v>1</v>
      </c>
      <c r="W574" s="54" t="n">
        <v>8904</v>
      </c>
      <c r="X574" s="56" t="n">
        <f aca="false">W574/$P574</f>
        <v>1</v>
      </c>
      <c r="Y574" s="54"/>
      <c r="Z574" s="57"/>
    </row>
    <row r="575" customFormat="false" ht="13.9" hidden="true" customHeight="true" outlineLevel="0" collapsed="false">
      <c r="D575" s="130"/>
      <c r="E575" s="52" t="s">
        <v>323</v>
      </c>
      <c r="F575" s="86"/>
      <c r="G575" s="54"/>
      <c r="H575" s="54" t="n">
        <v>4080</v>
      </c>
      <c r="I575" s="54"/>
      <c r="J575" s="54"/>
      <c r="K575" s="54"/>
      <c r="L575" s="54"/>
      <c r="M575" s="54"/>
      <c r="N575" s="54"/>
      <c r="O575" s="54"/>
      <c r="P575" s="54" t="n">
        <f aca="false">K575+SUM(L575:O575)</f>
        <v>0</v>
      </c>
      <c r="Q575" s="54"/>
      <c r="R575" s="55" t="e">
        <f aca="false">Q575/$P575</f>
        <v>#DIV/0!</v>
      </c>
      <c r="S575" s="54"/>
      <c r="T575" s="55" t="e">
        <f aca="false">S575/$P575</f>
        <v>#DIV/0!</v>
      </c>
      <c r="U575" s="54"/>
      <c r="V575" s="55" t="e">
        <f aca="false">U575/$P575</f>
        <v>#DIV/0!</v>
      </c>
      <c r="W575" s="54"/>
      <c r="X575" s="56" t="e">
        <f aca="false">W575/$P575</f>
        <v>#DIV/0!</v>
      </c>
      <c r="Y575" s="54"/>
      <c r="Z575" s="57"/>
    </row>
    <row r="577" customFormat="false" ht="13.9" hidden="false" customHeight="true" outlineLevel="0" collapsed="false">
      <c r="D577" s="28" t="s">
        <v>324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9"/>
      <c r="S577" s="28"/>
      <c r="T577" s="29"/>
      <c r="U577" s="28"/>
      <c r="V577" s="29"/>
      <c r="W577" s="28"/>
      <c r="X577" s="29"/>
      <c r="Y577" s="28"/>
      <c r="Z577" s="28"/>
    </row>
    <row r="578" customFormat="false" ht="13.9" hidden="false" customHeight="true" outlineLevel="0" collapsed="false">
      <c r="D578" s="121"/>
      <c r="E578" s="7"/>
      <c r="F578" s="7"/>
      <c r="G578" s="7" t="s">
        <v>1</v>
      </c>
      <c r="H578" s="7" t="s">
        <v>2</v>
      </c>
      <c r="I578" s="7" t="s">
        <v>3</v>
      </c>
      <c r="J578" s="7" t="s">
        <v>4</v>
      </c>
      <c r="K578" s="7" t="s">
        <v>5</v>
      </c>
      <c r="L578" s="7" t="s">
        <v>6</v>
      </c>
      <c r="M578" s="7" t="s">
        <v>7</v>
      </c>
      <c r="N578" s="7" t="s">
        <v>8</v>
      </c>
      <c r="O578" s="7" t="s">
        <v>9</v>
      </c>
      <c r="P578" s="7" t="s">
        <v>10</v>
      </c>
      <c r="Q578" s="7" t="s">
        <v>11</v>
      </c>
      <c r="R578" s="8" t="s">
        <v>12</v>
      </c>
      <c r="S578" s="7" t="s">
        <v>13</v>
      </c>
      <c r="T578" s="8" t="s">
        <v>14</v>
      </c>
      <c r="U578" s="7" t="s">
        <v>15</v>
      </c>
      <c r="V578" s="8" t="s">
        <v>16</v>
      </c>
      <c r="W578" s="7" t="s">
        <v>17</v>
      </c>
      <c r="X578" s="8" t="s">
        <v>18</v>
      </c>
      <c r="Y578" s="7" t="s">
        <v>19</v>
      </c>
      <c r="Z578" s="7" t="s">
        <v>20</v>
      </c>
    </row>
    <row r="579" customFormat="false" ht="13.9" hidden="true" customHeight="true" outlineLevel="0" collapsed="false">
      <c r="A579" s="1" t="n">
        <v>8</v>
      </c>
      <c r="B579" s="1" t="n">
        <v>7</v>
      </c>
      <c r="D579" s="30" t="s">
        <v>21</v>
      </c>
      <c r="E579" s="10" t="n">
        <v>111</v>
      </c>
      <c r="F579" s="10" t="s">
        <v>47</v>
      </c>
      <c r="G579" s="11" t="n">
        <v>0</v>
      </c>
      <c r="H579" s="11" t="n">
        <v>0</v>
      </c>
      <c r="I579" s="11" t="n">
        <v>0</v>
      </c>
      <c r="J579" s="11" t="n">
        <v>0</v>
      </c>
      <c r="K579" s="11" t="n">
        <v>0</v>
      </c>
      <c r="L579" s="11" t="n">
        <v>0</v>
      </c>
      <c r="M579" s="11" t="n">
        <v>0</v>
      </c>
      <c r="N579" s="11" t="n">
        <v>0</v>
      </c>
      <c r="O579" s="11" t="n">
        <v>0</v>
      </c>
      <c r="P579" s="11" t="n">
        <v>0</v>
      </c>
      <c r="Q579" s="11" t="n">
        <v>0</v>
      </c>
      <c r="R579" s="12" t="e">
        <f aca="false">Q579/$P579</f>
        <v>#DIV/0!</v>
      </c>
      <c r="S579" s="11" t="n">
        <v>0</v>
      </c>
      <c r="T579" s="12" t="e">
        <f aca="false">S579/$P579</f>
        <v>#DIV/0!</v>
      </c>
      <c r="U579" s="11" t="n">
        <v>0</v>
      </c>
      <c r="V579" s="12" t="e">
        <f aca="false">U579/$P579</f>
        <v>#DIV/0!</v>
      </c>
      <c r="W579" s="11" t="n">
        <v>0</v>
      </c>
      <c r="X579" s="12" t="e">
        <f aca="false">W579/$P579</f>
        <v>#DIV/0!</v>
      </c>
      <c r="Y579" s="11" t="n">
        <v>0</v>
      </c>
      <c r="Z579" s="11" t="n">
        <v>0</v>
      </c>
    </row>
    <row r="580" customFormat="false" ht="13.9" hidden="false" customHeight="true" outlineLevel="0" collapsed="false">
      <c r="A580" s="1" t="n">
        <v>8</v>
      </c>
      <c r="B580" s="1" t="n">
        <v>7</v>
      </c>
      <c r="D580" s="30" t="s">
        <v>21</v>
      </c>
      <c r="E580" s="10" t="n">
        <v>41</v>
      </c>
      <c r="F580" s="10" t="s">
        <v>23</v>
      </c>
      <c r="G580" s="11" t="n">
        <f aca="false">SUM(G584:G584)</f>
        <v>0</v>
      </c>
      <c r="H580" s="11" t="n">
        <f aca="false">SUM(H584:H584)</f>
        <v>41814.72</v>
      </c>
      <c r="I580" s="11" t="n">
        <f aca="false">SUM(I584:I586)-I579</f>
        <v>20000</v>
      </c>
      <c r="J580" s="11" t="n">
        <f aca="false">SUM(J584:J586)-J579</f>
        <v>5341.76</v>
      </c>
      <c r="K580" s="11" t="n">
        <f aca="false">SUM(K584:K586)-K579</f>
        <v>11000</v>
      </c>
      <c r="L580" s="11" t="n">
        <f aca="false">SUM(L584:L584)-L579</f>
        <v>0</v>
      </c>
      <c r="M580" s="11" t="n">
        <f aca="false">SUM(M584:M586)-M579</f>
        <v>-8000</v>
      </c>
      <c r="N580" s="11" t="n">
        <f aca="false">SUM(N584:N586)-N579</f>
        <v>1000</v>
      </c>
      <c r="O580" s="11" t="n">
        <f aca="false">SUM(O584:O584)-O579</f>
        <v>0</v>
      </c>
      <c r="P580" s="11" t="n">
        <f aca="false">SUM(P584:P586)-P579</f>
        <v>4000</v>
      </c>
      <c r="Q580" s="11" t="n">
        <f aca="false">SUM(Q584:Q586)-Q579</f>
        <v>0</v>
      </c>
      <c r="R580" s="12" t="n">
        <f aca="false">Q580/$P580</f>
        <v>0</v>
      </c>
      <c r="S580" s="11" t="n">
        <f aca="false">SUM(S584:S586)-S579</f>
        <v>0</v>
      </c>
      <c r="T580" s="12" t="n">
        <f aca="false">S580/$P580</f>
        <v>0</v>
      </c>
      <c r="U580" s="11" t="n">
        <f aca="false">SUM(U584:U586)-U579</f>
        <v>0</v>
      </c>
      <c r="V580" s="12" t="n">
        <f aca="false">U580/$P580</f>
        <v>0</v>
      </c>
      <c r="W580" s="11" t="n">
        <f aca="false">SUM(W584:W586)-W579</f>
        <v>4000</v>
      </c>
      <c r="X580" s="12" t="n">
        <f aca="false">W580/$P580</f>
        <v>1</v>
      </c>
      <c r="Y580" s="11" t="n">
        <f aca="false">SUM(Y584:Y584)</f>
        <v>0</v>
      </c>
      <c r="Z580" s="11" t="n">
        <f aca="false">SUM(Z584:Z584)</f>
        <v>0</v>
      </c>
    </row>
    <row r="581" customFormat="false" ht="13.9" hidden="false" customHeight="true" outlineLevel="0" collapsed="false">
      <c r="A581" s="1" t="n">
        <v>8</v>
      </c>
      <c r="B581" s="1" t="n">
        <v>7</v>
      </c>
      <c r="D581" s="17"/>
      <c r="E581" s="18"/>
      <c r="F581" s="13" t="s">
        <v>122</v>
      </c>
      <c r="G581" s="14" t="n">
        <f aca="false">SUM(G579:G580)</f>
        <v>0</v>
      </c>
      <c r="H581" s="14" t="n">
        <f aca="false">SUM(H579:H580)</f>
        <v>41814.72</v>
      </c>
      <c r="I581" s="14" t="n">
        <f aca="false">SUM(I579:I580)</f>
        <v>20000</v>
      </c>
      <c r="J581" s="14" t="n">
        <f aca="false">SUM(J579:J580)</f>
        <v>5341.76</v>
      </c>
      <c r="K581" s="14" t="n">
        <f aca="false">SUM(K579:K580)</f>
        <v>11000</v>
      </c>
      <c r="L581" s="14" t="n">
        <f aca="false">SUM(L579:L580)</f>
        <v>0</v>
      </c>
      <c r="M581" s="14" t="n">
        <f aca="false">SUM(M579:M580)</f>
        <v>-8000</v>
      </c>
      <c r="N581" s="14" t="n">
        <f aca="false">SUM(N579:N580)</f>
        <v>1000</v>
      </c>
      <c r="O581" s="14" t="n">
        <f aca="false">SUM(O579:O580)</f>
        <v>0</v>
      </c>
      <c r="P581" s="14" t="n">
        <f aca="false">SUM(P579:P580)</f>
        <v>4000</v>
      </c>
      <c r="Q581" s="14" t="n">
        <f aca="false">SUM(Q579:Q580)</f>
        <v>0</v>
      </c>
      <c r="R581" s="15" t="n">
        <f aca="false">Q581/$P581</f>
        <v>0</v>
      </c>
      <c r="S581" s="14" t="n">
        <f aca="false">SUM(S579:S580)</f>
        <v>0</v>
      </c>
      <c r="T581" s="15" t="n">
        <f aca="false">S581/$P581</f>
        <v>0</v>
      </c>
      <c r="U581" s="14" t="n">
        <f aca="false">SUM(U579:U580)</f>
        <v>0</v>
      </c>
      <c r="V581" s="15" t="n">
        <f aca="false">U581/$P581</f>
        <v>0</v>
      </c>
      <c r="W581" s="14" t="n">
        <f aca="false">SUM(W579:W580)</f>
        <v>4000</v>
      </c>
      <c r="X581" s="15" t="n">
        <f aca="false">W581/$P581</f>
        <v>1</v>
      </c>
      <c r="Y581" s="14" t="n">
        <f aca="false">SUM(Y579:Y580)</f>
        <v>0</v>
      </c>
      <c r="Z581" s="14" t="n">
        <f aca="false">SUM(Z579:Z580)</f>
        <v>0</v>
      </c>
    </row>
    <row r="583" customFormat="false" ht="13.9" hidden="false" customHeight="true" outlineLevel="0" collapsed="false">
      <c r="D583" s="1" t="s">
        <v>57</v>
      </c>
    </row>
    <row r="584" customFormat="false" ht="13.9" hidden="true" customHeight="true" outlineLevel="0" collapsed="false">
      <c r="D584" s="30" t="s">
        <v>325</v>
      </c>
      <c r="E584" s="39" t="s">
        <v>326</v>
      </c>
      <c r="F584" s="17"/>
      <c r="G584" s="40"/>
      <c r="H584" s="82" t="n">
        <v>41814.72</v>
      </c>
      <c r="I584" s="82"/>
      <c r="J584" s="82"/>
      <c r="K584" s="82"/>
      <c r="L584" s="82"/>
      <c r="M584" s="82"/>
      <c r="N584" s="82"/>
      <c r="O584" s="82"/>
      <c r="P584" s="82" t="n">
        <f aca="false">K584+SUM(L584:O584)</f>
        <v>0</v>
      </c>
      <c r="Q584" s="82"/>
      <c r="R584" s="103" t="e">
        <f aca="false">Q584/$P584</f>
        <v>#DIV/0!</v>
      </c>
      <c r="S584" s="82"/>
      <c r="T584" s="103" t="e">
        <f aca="false">S584/$P584</f>
        <v>#DIV/0!</v>
      </c>
      <c r="U584" s="82"/>
      <c r="V584" s="103" t="e">
        <f aca="false">U584/$P584</f>
        <v>#DIV/0!</v>
      </c>
      <c r="W584" s="82"/>
      <c r="X584" s="104" t="e">
        <f aca="false">W584/$P584</f>
        <v>#DIV/0!</v>
      </c>
      <c r="Y584" s="40"/>
      <c r="Z584" s="43"/>
      <c r="AB584" s="131"/>
    </row>
    <row r="585" customFormat="false" ht="13.9" hidden="false" customHeight="true" outlineLevel="0" collapsed="false">
      <c r="D585" s="30" t="s">
        <v>325</v>
      </c>
      <c r="E585" s="39" t="s">
        <v>327</v>
      </c>
      <c r="F585" s="17"/>
      <c r="G585" s="40"/>
      <c r="H585" s="40"/>
      <c r="I585" s="82" t="n">
        <v>20000</v>
      </c>
      <c r="J585" s="82" t="n">
        <v>5341.76</v>
      </c>
      <c r="K585" s="82" t="n">
        <v>3000</v>
      </c>
      <c r="L585" s="82"/>
      <c r="M585" s="82"/>
      <c r="N585" s="82" t="n">
        <v>1000</v>
      </c>
      <c r="O585" s="82"/>
      <c r="P585" s="82" t="n">
        <f aca="false">K585+SUM(L585:O585)</f>
        <v>4000</v>
      </c>
      <c r="Q585" s="82" t="n">
        <v>0</v>
      </c>
      <c r="R585" s="103" t="n">
        <f aca="false">Q585/$P585</f>
        <v>0</v>
      </c>
      <c r="S585" s="82" t="n">
        <v>0</v>
      </c>
      <c r="T585" s="103" t="n">
        <f aca="false">S585/$P585</f>
        <v>0</v>
      </c>
      <c r="U585" s="82" t="n">
        <v>0</v>
      </c>
      <c r="V585" s="103" t="n">
        <f aca="false">U585/$P585</f>
        <v>0</v>
      </c>
      <c r="W585" s="82" t="n">
        <v>4000</v>
      </c>
      <c r="X585" s="104" t="n">
        <f aca="false">W585/$P585</f>
        <v>1</v>
      </c>
      <c r="Y585" s="40"/>
      <c r="Z585" s="43"/>
      <c r="AB585" s="131"/>
    </row>
    <row r="586" customFormat="false" ht="13.9" hidden="false" customHeight="true" outlineLevel="0" collapsed="false">
      <c r="D586" s="30" t="s">
        <v>325</v>
      </c>
      <c r="E586" s="52" t="s">
        <v>328</v>
      </c>
      <c r="F586" s="86"/>
      <c r="G586" s="54"/>
      <c r="H586" s="54"/>
      <c r="I586" s="87"/>
      <c r="J586" s="87"/>
      <c r="K586" s="87" t="n">
        <v>8000</v>
      </c>
      <c r="L586" s="87"/>
      <c r="M586" s="87" t="n">
        <v>-8000</v>
      </c>
      <c r="N586" s="87"/>
      <c r="O586" s="87"/>
      <c r="P586" s="87" t="n">
        <f aca="false">K586+SUM(L586:O586)</f>
        <v>0</v>
      </c>
      <c r="Q586" s="87" t="n">
        <v>0</v>
      </c>
      <c r="R586" s="88" t="e">
        <f aca="false">Q586/$P586</f>
        <v>#DIV/0!</v>
      </c>
      <c r="S586" s="87" t="n">
        <v>0</v>
      </c>
      <c r="T586" s="88" t="e">
        <f aca="false">S586/$P586</f>
        <v>#DIV/0!</v>
      </c>
      <c r="U586" s="87" t="n">
        <v>0</v>
      </c>
      <c r="V586" s="88" t="e">
        <f aca="false">U586/$P586</f>
        <v>#DIV/0!</v>
      </c>
      <c r="W586" s="87" t="n">
        <v>0</v>
      </c>
      <c r="X586" s="89" t="e">
        <f aca="false">W586/$P586</f>
        <v>#DIV/0!</v>
      </c>
      <c r="Y586" s="54"/>
      <c r="Z586" s="57"/>
      <c r="AB586" s="131"/>
    </row>
    <row r="588" customFormat="false" ht="13.9" hidden="false" customHeight="true" outlineLevel="0" collapsed="false">
      <c r="D588" s="28" t="s">
        <v>329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9"/>
      <c r="S588" s="28"/>
      <c r="T588" s="29"/>
      <c r="U588" s="28"/>
      <c r="V588" s="29"/>
      <c r="W588" s="28"/>
      <c r="X588" s="29"/>
      <c r="Y588" s="28"/>
      <c r="Z588" s="28"/>
    </row>
    <row r="589" customFormat="false" ht="13.9" hidden="false" customHeight="true" outlineLevel="0" collapsed="false">
      <c r="D589" s="121"/>
      <c r="E589" s="7"/>
      <c r="F589" s="7"/>
      <c r="G589" s="7" t="s">
        <v>1</v>
      </c>
      <c r="H589" s="7" t="s">
        <v>2</v>
      </c>
      <c r="I589" s="7" t="s">
        <v>3</v>
      </c>
      <c r="J589" s="7" t="s">
        <v>4</v>
      </c>
      <c r="K589" s="7" t="s">
        <v>5</v>
      </c>
      <c r="L589" s="7" t="s">
        <v>6</v>
      </c>
      <c r="M589" s="7" t="s">
        <v>7</v>
      </c>
      <c r="N589" s="7" t="s">
        <v>8</v>
      </c>
      <c r="O589" s="7" t="s">
        <v>9</v>
      </c>
      <c r="P589" s="7" t="s">
        <v>10</v>
      </c>
      <c r="Q589" s="7" t="s">
        <v>11</v>
      </c>
      <c r="R589" s="8" t="s">
        <v>12</v>
      </c>
      <c r="S589" s="7" t="s">
        <v>13</v>
      </c>
      <c r="T589" s="8" t="s">
        <v>14</v>
      </c>
      <c r="U589" s="7" t="s">
        <v>15</v>
      </c>
      <c r="V589" s="8" t="s">
        <v>16</v>
      </c>
      <c r="W589" s="7" t="s">
        <v>17</v>
      </c>
      <c r="X589" s="8" t="s">
        <v>18</v>
      </c>
      <c r="Y589" s="7" t="s">
        <v>19</v>
      </c>
      <c r="Z589" s="7" t="s">
        <v>20</v>
      </c>
    </row>
    <row r="590" customFormat="false" ht="13.9" hidden="false" customHeight="true" outlineLevel="0" collapsed="false">
      <c r="A590" s="1" t="n">
        <v>8</v>
      </c>
      <c r="B590" s="1" t="n">
        <v>8</v>
      </c>
      <c r="D590" s="117" t="s">
        <v>21</v>
      </c>
      <c r="E590" s="10" t="n">
        <v>41</v>
      </c>
      <c r="F590" s="10" t="s">
        <v>23</v>
      </c>
      <c r="G590" s="11" t="n">
        <f aca="false">SUM(G594:G594)</f>
        <v>0</v>
      </c>
      <c r="H590" s="11" t="n">
        <f aca="false">SUM(H594:H594)</f>
        <v>4392</v>
      </c>
      <c r="I590" s="11" t="n">
        <f aca="false">SUM(I594:I594)</f>
        <v>4800</v>
      </c>
      <c r="J590" s="11" t="n">
        <f aca="false">SUM(J594:J594)</f>
        <v>4800</v>
      </c>
      <c r="K590" s="11" t="n">
        <f aca="false">SUM(K594:K594)</f>
        <v>0</v>
      </c>
      <c r="L590" s="11" t="n">
        <f aca="false">SUM(L594:L594)</f>
        <v>1884</v>
      </c>
      <c r="M590" s="11" t="n">
        <f aca="false">SUM(M594:M594)</f>
        <v>0</v>
      </c>
      <c r="N590" s="11" t="n">
        <f aca="false">SUM(N594:N594)</f>
        <v>0</v>
      </c>
      <c r="O590" s="11" t="n">
        <f aca="false">SUM(O594:O594)</f>
        <v>0</v>
      </c>
      <c r="P590" s="11" t="n">
        <f aca="false">SUM(P594:P594)</f>
        <v>1884</v>
      </c>
      <c r="Q590" s="11" t="n">
        <f aca="false">SUM(Q594:Q594)</f>
        <v>0</v>
      </c>
      <c r="R590" s="12" t="n">
        <f aca="false">Q590/$P590</f>
        <v>0</v>
      </c>
      <c r="S590" s="11" t="n">
        <f aca="false">SUM(S594:S594)</f>
        <v>1884</v>
      </c>
      <c r="T590" s="12" t="n">
        <f aca="false">S590/$P590</f>
        <v>1</v>
      </c>
      <c r="U590" s="11" t="n">
        <f aca="false">SUM(U594:U594)</f>
        <v>1884</v>
      </c>
      <c r="V590" s="12" t="n">
        <f aca="false">U590/$P590</f>
        <v>1</v>
      </c>
      <c r="W590" s="11" t="n">
        <f aca="false">SUM(W594:W594)</f>
        <v>1884</v>
      </c>
      <c r="X590" s="12" t="n">
        <f aca="false">W590/$P590</f>
        <v>1</v>
      </c>
      <c r="Y590" s="11" t="n">
        <f aca="false">SUM(Y594:Y594)</f>
        <v>0</v>
      </c>
      <c r="Z590" s="11" t="n">
        <f aca="false">SUM(Z594:Z594)</f>
        <v>0</v>
      </c>
    </row>
    <row r="591" customFormat="false" ht="13.9" hidden="false" customHeight="true" outlineLevel="0" collapsed="false">
      <c r="A591" s="1" t="n">
        <v>8</v>
      </c>
      <c r="B591" s="1" t="n">
        <v>8</v>
      </c>
      <c r="D591" s="17"/>
      <c r="E591" s="18"/>
      <c r="F591" s="13" t="s">
        <v>122</v>
      </c>
      <c r="G591" s="14" t="n">
        <f aca="false">SUM(G590)</f>
        <v>0</v>
      </c>
      <c r="H591" s="14" t="n">
        <f aca="false">SUM(H590)</f>
        <v>4392</v>
      </c>
      <c r="I591" s="14" t="n">
        <f aca="false">SUM(I590)</f>
        <v>4800</v>
      </c>
      <c r="J591" s="14" t="n">
        <f aca="false">SUM(J590)</f>
        <v>4800</v>
      </c>
      <c r="K591" s="14" t="n">
        <f aca="false">SUM(K590)</f>
        <v>0</v>
      </c>
      <c r="L591" s="14" t="n">
        <f aca="false">SUM(L590)</f>
        <v>1884</v>
      </c>
      <c r="M591" s="14" t="n">
        <f aca="false">SUM(M590)</f>
        <v>0</v>
      </c>
      <c r="N591" s="14" t="n">
        <f aca="false">SUM(N590)</f>
        <v>0</v>
      </c>
      <c r="O591" s="14" t="n">
        <f aca="false">SUM(O590)</f>
        <v>0</v>
      </c>
      <c r="P591" s="14" t="n">
        <f aca="false">SUM(P590)</f>
        <v>1884</v>
      </c>
      <c r="Q591" s="14" t="n">
        <f aca="false">SUM(Q590)</f>
        <v>0</v>
      </c>
      <c r="R591" s="15" t="n">
        <f aca="false">Q591/$P591</f>
        <v>0</v>
      </c>
      <c r="S591" s="14" t="n">
        <f aca="false">SUM(S590)</f>
        <v>1884</v>
      </c>
      <c r="T591" s="15" t="n">
        <f aca="false">S591/$P591</f>
        <v>1</v>
      </c>
      <c r="U591" s="14" t="n">
        <f aca="false">SUM(U590)</f>
        <v>1884</v>
      </c>
      <c r="V591" s="15" t="n">
        <f aca="false">U591/$P591</f>
        <v>1</v>
      </c>
      <c r="W591" s="14" t="n">
        <f aca="false">SUM(W590)</f>
        <v>1884</v>
      </c>
      <c r="X591" s="15" t="n">
        <f aca="false">W591/$P591</f>
        <v>1</v>
      </c>
      <c r="Y591" s="14" t="n">
        <f aca="false">SUM(Y590)</f>
        <v>0</v>
      </c>
      <c r="Z591" s="14" t="n">
        <f aca="false">SUM(Z590)</f>
        <v>0</v>
      </c>
    </row>
    <row r="593" customFormat="false" ht="13.9" hidden="false" customHeight="true" outlineLevel="0" collapsed="false">
      <c r="D593" s="1" t="s">
        <v>57</v>
      </c>
    </row>
    <row r="594" customFormat="false" ht="13.9" hidden="false" customHeight="true" outlineLevel="0" collapsed="false">
      <c r="D594" s="38" t="s">
        <v>330</v>
      </c>
      <c r="E594" s="100" t="s">
        <v>331</v>
      </c>
      <c r="F594" s="106"/>
      <c r="G594" s="108"/>
      <c r="H594" s="108" t="n">
        <v>4392</v>
      </c>
      <c r="I594" s="107" t="n">
        <v>4800</v>
      </c>
      <c r="J594" s="108" t="n">
        <v>4800</v>
      </c>
      <c r="K594" s="107" t="n">
        <v>0</v>
      </c>
      <c r="L594" s="108" t="n">
        <v>1884</v>
      </c>
      <c r="M594" s="108"/>
      <c r="N594" s="108"/>
      <c r="O594" s="108"/>
      <c r="P594" s="108" t="n">
        <f aca="false">K594+SUM(L594:O594)</f>
        <v>1884</v>
      </c>
      <c r="Q594" s="108" t="n">
        <v>0</v>
      </c>
      <c r="R594" s="109" t="n">
        <f aca="false">Q594/$P594</f>
        <v>0</v>
      </c>
      <c r="S594" s="108" t="n">
        <v>1884</v>
      </c>
      <c r="T594" s="109" t="n">
        <f aca="false">S594/$P594</f>
        <v>1</v>
      </c>
      <c r="U594" s="108" t="n">
        <v>1884</v>
      </c>
      <c r="V594" s="109" t="n">
        <f aca="false">U594/$P594</f>
        <v>1</v>
      </c>
      <c r="W594" s="108" t="n">
        <v>1884</v>
      </c>
      <c r="X594" s="110" t="n">
        <f aca="false">W594/$P594</f>
        <v>1</v>
      </c>
      <c r="Y594" s="108"/>
      <c r="Z594" s="111"/>
    </row>
    <row r="596" customFormat="false" ht="13.9" hidden="false" customHeight="true" outlineLevel="0" collapsed="false">
      <c r="D596" s="19" t="s">
        <v>332</v>
      </c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20"/>
      <c r="S596" s="19"/>
      <c r="T596" s="20"/>
      <c r="U596" s="19"/>
      <c r="V596" s="20"/>
      <c r="W596" s="19"/>
      <c r="X596" s="20"/>
      <c r="Y596" s="19"/>
      <c r="Z596" s="19"/>
    </row>
    <row r="597" customFormat="false" ht="13.9" hidden="false" customHeight="true" outlineLevel="0" collapsed="false">
      <c r="D597" s="6"/>
      <c r="E597" s="6"/>
      <c r="F597" s="6"/>
      <c r="G597" s="7" t="s">
        <v>1</v>
      </c>
      <c r="H597" s="7" t="s">
        <v>2</v>
      </c>
      <c r="I597" s="7" t="s">
        <v>3</v>
      </c>
      <c r="J597" s="7" t="s">
        <v>4</v>
      </c>
      <c r="K597" s="7" t="s">
        <v>5</v>
      </c>
      <c r="L597" s="7" t="s">
        <v>6</v>
      </c>
      <c r="M597" s="7" t="s">
        <v>7</v>
      </c>
      <c r="N597" s="7" t="s">
        <v>8</v>
      </c>
      <c r="O597" s="7" t="s">
        <v>9</v>
      </c>
      <c r="P597" s="7" t="s">
        <v>10</v>
      </c>
      <c r="Q597" s="7" t="s">
        <v>11</v>
      </c>
      <c r="R597" s="8" t="s">
        <v>12</v>
      </c>
      <c r="S597" s="7" t="s">
        <v>13</v>
      </c>
      <c r="T597" s="8" t="s">
        <v>14</v>
      </c>
      <c r="U597" s="7" t="s">
        <v>15</v>
      </c>
      <c r="V597" s="8" t="s">
        <v>16</v>
      </c>
      <c r="W597" s="7" t="s">
        <v>17</v>
      </c>
      <c r="X597" s="8" t="s">
        <v>18</v>
      </c>
      <c r="Y597" s="7" t="s">
        <v>19</v>
      </c>
      <c r="Z597" s="7" t="s">
        <v>20</v>
      </c>
    </row>
    <row r="598" customFormat="false" ht="13.9" hidden="true" customHeight="true" outlineLevel="0" collapsed="false">
      <c r="A598" s="1" t="n">
        <v>9</v>
      </c>
      <c r="D598" s="73" t="s">
        <v>21</v>
      </c>
      <c r="E598" s="22" t="n">
        <v>41</v>
      </c>
      <c r="F598" s="22" t="s">
        <v>23</v>
      </c>
      <c r="G598" s="23" t="n">
        <f aca="false">G606</f>
        <v>0</v>
      </c>
      <c r="H598" s="23" t="n">
        <f aca="false">H606</f>
        <v>0</v>
      </c>
      <c r="I598" s="23" t="n">
        <f aca="false">I606</f>
        <v>0</v>
      </c>
      <c r="J598" s="23" t="n">
        <f aca="false">J606</f>
        <v>0</v>
      </c>
      <c r="K598" s="23" t="n">
        <f aca="false">K606</f>
        <v>0</v>
      </c>
      <c r="L598" s="23" t="n">
        <f aca="false">L606</f>
        <v>0</v>
      </c>
      <c r="M598" s="23" t="n">
        <f aca="false">M606</f>
        <v>0</v>
      </c>
      <c r="N598" s="23" t="n">
        <f aca="false">N606</f>
        <v>0</v>
      </c>
      <c r="O598" s="23" t="n">
        <f aca="false">O606</f>
        <v>0</v>
      </c>
      <c r="P598" s="23" t="n">
        <f aca="false">P606</f>
        <v>0</v>
      </c>
      <c r="Q598" s="23" t="n">
        <f aca="false">Q606</f>
        <v>0</v>
      </c>
      <c r="R598" s="24" t="e">
        <f aca="false">Q598/$P598</f>
        <v>#DIV/0!</v>
      </c>
      <c r="S598" s="23" t="n">
        <f aca="false">S606</f>
        <v>0</v>
      </c>
      <c r="T598" s="24" t="e">
        <f aca="false">S598/$P598</f>
        <v>#DIV/0!</v>
      </c>
      <c r="U598" s="23" t="n">
        <f aca="false">U606</f>
        <v>0</v>
      </c>
      <c r="V598" s="24" t="e">
        <f aca="false">U598/$P598</f>
        <v>#DIV/0!</v>
      </c>
      <c r="W598" s="23" t="n">
        <f aca="false">W606</f>
        <v>0</v>
      </c>
      <c r="X598" s="24" t="e">
        <f aca="false">W598/$P598</f>
        <v>#DIV/0!</v>
      </c>
      <c r="Y598" s="23" t="n">
        <f aca="false">Y606</f>
        <v>0</v>
      </c>
      <c r="Z598" s="23" t="n">
        <f aca="false">Z606</f>
        <v>0</v>
      </c>
    </row>
    <row r="599" customFormat="false" ht="13.9" hidden="false" customHeight="true" outlineLevel="0" collapsed="false">
      <c r="A599" s="1" t="n">
        <v>9</v>
      </c>
      <c r="D599" s="73" t="s">
        <v>21</v>
      </c>
      <c r="E599" s="22" t="n">
        <v>71</v>
      </c>
      <c r="F599" s="22" t="s">
        <v>24</v>
      </c>
      <c r="G599" s="23" t="n">
        <f aca="false">G608</f>
        <v>1617.83</v>
      </c>
      <c r="H599" s="23" t="n">
        <f aca="false">H608</f>
        <v>0</v>
      </c>
      <c r="I599" s="23" t="n">
        <f aca="false">I608</f>
        <v>0</v>
      </c>
      <c r="J599" s="23" t="n">
        <f aca="false">J608</f>
        <v>0</v>
      </c>
      <c r="K599" s="23" t="n">
        <f aca="false">K608</f>
        <v>0</v>
      </c>
      <c r="L599" s="23" t="n">
        <f aca="false">L608</f>
        <v>0</v>
      </c>
      <c r="M599" s="23" t="n">
        <f aca="false">M608</f>
        <v>1000</v>
      </c>
      <c r="N599" s="23" t="n">
        <f aca="false">N608</f>
        <v>0</v>
      </c>
      <c r="O599" s="23" t="n">
        <f aca="false">O608</f>
        <v>0</v>
      </c>
      <c r="P599" s="23" t="n">
        <f aca="false">P608</f>
        <v>1000</v>
      </c>
      <c r="Q599" s="23" t="n">
        <f aca="false">Q608</f>
        <v>0</v>
      </c>
      <c r="R599" s="24" t="n">
        <f aca="false">Q599/$P599</f>
        <v>0</v>
      </c>
      <c r="S599" s="23" t="n">
        <f aca="false">S608</f>
        <v>0</v>
      </c>
      <c r="T599" s="24" t="n">
        <f aca="false">S599/$P599</f>
        <v>0</v>
      </c>
      <c r="U599" s="23" t="n">
        <f aca="false">U608</f>
        <v>300</v>
      </c>
      <c r="V599" s="24" t="n">
        <f aca="false">U599/$P599</f>
        <v>0.3</v>
      </c>
      <c r="W599" s="23" t="n">
        <f aca="false">W608</f>
        <v>300</v>
      </c>
      <c r="X599" s="24" t="n">
        <f aca="false">W599/$P599</f>
        <v>0.3</v>
      </c>
      <c r="Y599" s="23" t="n">
        <f aca="false">Y608</f>
        <v>3000</v>
      </c>
      <c r="Z599" s="23" t="n">
        <f aca="false">Z608</f>
        <v>0</v>
      </c>
    </row>
    <row r="600" customFormat="false" ht="13.9" hidden="false" customHeight="true" outlineLevel="0" collapsed="false">
      <c r="A600" s="1" t="n">
        <v>9</v>
      </c>
      <c r="D600" s="17"/>
      <c r="E600" s="18"/>
      <c r="F600" s="25" t="s">
        <v>122</v>
      </c>
      <c r="G600" s="26" t="n">
        <f aca="false">SUM(G598:G599)</f>
        <v>1617.83</v>
      </c>
      <c r="H600" s="26" t="n">
        <f aca="false">SUM(H598:H599)</f>
        <v>0</v>
      </c>
      <c r="I600" s="26" t="n">
        <f aca="false">SUM(I598:I599)</f>
        <v>0</v>
      </c>
      <c r="J600" s="26" t="n">
        <f aca="false">SUM(J598:J599)</f>
        <v>0</v>
      </c>
      <c r="K600" s="26" t="n">
        <f aca="false">SUM(K598:K599)</f>
        <v>0</v>
      </c>
      <c r="L600" s="26" t="n">
        <f aca="false">SUM(L598:L599)</f>
        <v>0</v>
      </c>
      <c r="M600" s="26" t="n">
        <f aca="false">SUM(M598:M599)</f>
        <v>1000</v>
      </c>
      <c r="N600" s="26" t="n">
        <f aca="false">SUM(N598:N599)</f>
        <v>0</v>
      </c>
      <c r="O600" s="26" t="n">
        <f aca="false">SUM(O598:O599)</f>
        <v>0</v>
      </c>
      <c r="P600" s="26" t="n">
        <f aca="false">SUM(P598:P599)</f>
        <v>1000</v>
      </c>
      <c r="Q600" s="26" t="n">
        <f aca="false">SUM(Q598:Q599)</f>
        <v>0</v>
      </c>
      <c r="R600" s="27" t="n">
        <f aca="false">Q600/$P600</f>
        <v>0</v>
      </c>
      <c r="S600" s="26" t="n">
        <f aca="false">SUM(S598:S599)</f>
        <v>0</v>
      </c>
      <c r="T600" s="27" t="n">
        <f aca="false">S600/$P600</f>
        <v>0</v>
      </c>
      <c r="U600" s="26" t="n">
        <f aca="false">SUM(U598:U599)</f>
        <v>300</v>
      </c>
      <c r="V600" s="27" t="n">
        <f aca="false">U600/$P600</f>
        <v>0.3</v>
      </c>
      <c r="W600" s="26" t="n">
        <f aca="false">SUM(W598:W599)</f>
        <v>300</v>
      </c>
      <c r="X600" s="27" t="n">
        <f aca="false">W600/$P600</f>
        <v>0.3</v>
      </c>
      <c r="Y600" s="26" t="n">
        <f aca="false">SUM(Y598:Y599)</f>
        <v>3000</v>
      </c>
      <c r="Z600" s="26" t="n">
        <f aca="false">SUM(Z598:Z599)</f>
        <v>0</v>
      </c>
    </row>
    <row r="602" customFormat="false" ht="13.9" hidden="false" customHeight="true" outlineLevel="0" collapsed="false">
      <c r="D602" s="60" t="s">
        <v>333</v>
      </c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1"/>
      <c r="S602" s="60"/>
      <c r="T602" s="61"/>
      <c r="U602" s="60"/>
      <c r="V602" s="61"/>
      <c r="W602" s="60"/>
      <c r="X602" s="61"/>
      <c r="Y602" s="60"/>
      <c r="Z602" s="60"/>
    </row>
    <row r="603" customFormat="false" ht="13.9" hidden="false" customHeight="true" outlineLevel="0" collapsed="false">
      <c r="D603" s="7" t="s">
        <v>33</v>
      </c>
      <c r="E603" s="7" t="s">
        <v>34</v>
      </c>
      <c r="F603" s="7" t="s">
        <v>35</v>
      </c>
      <c r="G603" s="7" t="s">
        <v>1</v>
      </c>
      <c r="H603" s="7" t="s">
        <v>2</v>
      </c>
      <c r="I603" s="7" t="s">
        <v>3</v>
      </c>
      <c r="J603" s="7" t="s">
        <v>4</v>
      </c>
      <c r="K603" s="7" t="s">
        <v>5</v>
      </c>
      <c r="L603" s="7" t="s">
        <v>6</v>
      </c>
      <c r="M603" s="7" t="s">
        <v>7</v>
      </c>
      <c r="N603" s="7" t="s">
        <v>8</v>
      </c>
      <c r="O603" s="7" t="s">
        <v>9</v>
      </c>
      <c r="P603" s="7" t="s">
        <v>10</v>
      </c>
      <c r="Q603" s="7" t="s">
        <v>11</v>
      </c>
      <c r="R603" s="8" t="s">
        <v>12</v>
      </c>
      <c r="S603" s="7" t="s">
        <v>13</v>
      </c>
      <c r="T603" s="8" t="s">
        <v>14</v>
      </c>
      <c r="U603" s="7" t="s">
        <v>15</v>
      </c>
      <c r="V603" s="8" t="s">
        <v>16</v>
      </c>
      <c r="W603" s="7" t="s">
        <v>17</v>
      </c>
      <c r="X603" s="8" t="s">
        <v>18</v>
      </c>
      <c r="Y603" s="7" t="s">
        <v>19</v>
      </c>
      <c r="Z603" s="7" t="s">
        <v>20</v>
      </c>
    </row>
    <row r="604" customFormat="false" ht="13.9" hidden="true" customHeight="true" outlineLevel="0" collapsed="false">
      <c r="A604" s="1" t="n">
        <v>9</v>
      </c>
      <c r="B604" s="1" t="n">
        <v>1</v>
      </c>
      <c r="D604" s="74" t="s">
        <v>126</v>
      </c>
      <c r="E604" s="10" t="n">
        <v>650</v>
      </c>
      <c r="F604" s="10" t="s">
        <v>334</v>
      </c>
      <c r="G604" s="11" t="n">
        <v>0</v>
      </c>
      <c r="H604" s="11" t="n">
        <v>0</v>
      </c>
      <c r="I604" s="11" t="n">
        <v>0</v>
      </c>
      <c r="J604" s="11" t="n">
        <v>0</v>
      </c>
      <c r="K604" s="11" t="n">
        <v>0</v>
      </c>
      <c r="L604" s="11"/>
      <c r="M604" s="11"/>
      <c r="N604" s="11"/>
      <c r="O604" s="11"/>
      <c r="P604" s="11" t="n">
        <f aca="false">K604+SUM(L604:O604)</f>
        <v>0</v>
      </c>
      <c r="Q604" s="11" t="n">
        <v>0</v>
      </c>
      <c r="R604" s="12" t="e">
        <f aca="false">Q604/$P604</f>
        <v>#DIV/0!</v>
      </c>
      <c r="S604" s="11" t="n">
        <v>0</v>
      </c>
      <c r="T604" s="12" t="e">
        <f aca="false">S604/$P604</f>
        <v>#DIV/0!</v>
      </c>
      <c r="U604" s="11" t="n">
        <v>0</v>
      </c>
      <c r="V604" s="12" t="e">
        <f aca="false">U604/$P604</f>
        <v>#DIV/0!</v>
      </c>
      <c r="W604" s="11" t="n">
        <v>0</v>
      </c>
      <c r="X604" s="12" t="e">
        <f aca="false">W604/$P604</f>
        <v>#DIV/0!</v>
      </c>
      <c r="Y604" s="11" t="n">
        <v>0</v>
      </c>
      <c r="Z604" s="11" t="n">
        <v>0</v>
      </c>
    </row>
    <row r="605" customFormat="false" ht="13.9" hidden="true" customHeight="true" outlineLevel="0" collapsed="false">
      <c r="A605" s="1" t="n">
        <v>9</v>
      </c>
      <c r="B605" s="1" t="n">
        <v>1</v>
      </c>
      <c r="D605" s="74"/>
      <c r="E605" s="10" t="n">
        <v>820</v>
      </c>
      <c r="F605" s="10" t="s">
        <v>335</v>
      </c>
      <c r="G605" s="11" t="n">
        <v>0</v>
      </c>
      <c r="H605" s="11" t="n">
        <v>0</v>
      </c>
      <c r="I605" s="11" t="n">
        <v>0</v>
      </c>
      <c r="J605" s="11" t="n">
        <v>0</v>
      </c>
      <c r="K605" s="11" t="n">
        <v>0</v>
      </c>
      <c r="L605" s="11"/>
      <c r="M605" s="11"/>
      <c r="N605" s="11"/>
      <c r="O605" s="11"/>
      <c r="P605" s="11" t="n">
        <f aca="false">K605+SUM(L605:O605)</f>
        <v>0</v>
      </c>
      <c r="Q605" s="11" t="n">
        <v>0</v>
      </c>
      <c r="R605" s="12" t="e">
        <f aca="false">Q605/$P605</f>
        <v>#DIV/0!</v>
      </c>
      <c r="S605" s="11" t="n">
        <v>0</v>
      </c>
      <c r="T605" s="12" t="e">
        <f aca="false">S605/$P605</f>
        <v>#DIV/0!</v>
      </c>
      <c r="U605" s="11" t="n">
        <v>0</v>
      </c>
      <c r="V605" s="12" t="e">
        <f aca="false">U605/$P605</f>
        <v>#DIV/0!</v>
      </c>
      <c r="W605" s="11" t="n">
        <v>0</v>
      </c>
      <c r="X605" s="12" t="e">
        <f aca="false">W605/$P605</f>
        <v>#DIV/0!</v>
      </c>
      <c r="Y605" s="11" t="n">
        <f aca="false">K605</f>
        <v>0</v>
      </c>
      <c r="Z605" s="11" t="n">
        <f aca="false">Y605</f>
        <v>0</v>
      </c>
    </row>
    <row r="606" customFormat="false" ht="13.9" hidden="true" customHeight="true" outlineLevel="0" collapsed="false">
      <c r="A606" s="1" t="n">
        <v>9</v>
      </c>
      <c r="B606" s="1" t="n">
        <v>1</v>
      </c>
      <c r="D606" s="75" t="s">
        <v>21</v>
      </c>
      <c r="E606" s="35" t="n">
        <v>41</v>
      </c>
      <c r="F606" s="35" t="s">
        <v>23</v>
      </c>
      <c r="G606" s="36" t="n">
        <f aca="false">SUM(G604:G605)</f>
        <v>0</v>
      </c>
      <c r="H606" s="36" t="n">
        <f aca="false">SUM(H604:H605)</f>
        <v>0</v>
      </c>
      <c r="I606" s="36" t="n">
        <f aca="false">SUM(I604:I605)</f>
        <v>0</v>
      </c>
      <c r="J606" s="36" t="n">
        <f aca="false">SUM(J604:J605)</f>
        <v>0</v>
      </c>
      <c r="K606" s="36" t="n">
        <f aca="false">SUM(K604:K605)</f>
        <v>0</v>
      </c>
      <c r="L606" s="36" t="n">
        <f aca="false">SUM(L604:L605)</f>
        <v>0</v>
      </c>
      <c r="M606" s="36" t="n">
        <f aca="false">SUM(M604:M605)</f>
        <v>0</v>
      </c>
      <c r="N606" s="36" t="n">
        <f aca="false">SUM(N604:N605)</f>
        <v>0</v>
      </c>
      <c r="O606" s="36" t="n">
        <f aca="false">SUM(O604:O605)</f>
        <v>0</v>
      </c>
      <c r="P606" s="36" t="n">
        <f aca="false">SUM(P604:P605)</f>
        <v>0</v>
      </c>
      <c r="Q606" s="36" t="n">
        <f aca="false">SUM(Q604:Q605)</f>
        <v>0</v>
      </c>
      <c r="R606" s="37" t="e">
        <f aca="false">Q606/$P606</f>
        <v>#DIV/0!</v>
      </c>
      <c r="S606" s="36" t="n">
        <f aca="false">SUM(S604:S605)</f>
        <v>0</v>
      </c>
      <c r="T606" s="37" t="e">
        <f aca="false">S606/$P606</f>
        <v>#DIV/0!</v>
      </c>
      <c r="U606" s="36" t="n">
        <f aca="false">SUM(U604:U605)</f>
        <v>0</v>
      </c>
      <c r="V606" s="37" t="e">
        <f aca="false">U606/$P606</f>
        <v>#DIV/0!</v>
      </c>
      <c r="W606" s="36" t="n">
        <f aca="false">SUM(W604:W605)</f>
        <v>0</v>
      </c>
      <c r="X606" s="37" t="e">
        <f aca="false">W606/$P606</f>
        <v>#DIV/0!</v>
      </c>
      <c r="Y606" s="36" t="n">
        <f aca="false">SUM(Y604:Y605)</f>
        <v>0</v>
      </c>
      <c r="Z606" s="36" t="n">
        <f aca="false">SUM(Z604:Z605)</f>
        <v>0</v>
      </c>
    </row>
    <row r="607" customFormat="false" ht="13.9" hidden="false" customHeight="true" outlineLevel="0" collapsed="false">
      <c r="A607" s="1" t="n">
        <v>9</v>
      </c>
      <c r="B607" s="1" t="n">
        <v>1</v>
      </c>
      <c r="D607" s="74" t="s">
        <v>126</v>
      </c>
      <c r="E607" s="10" t="n">
        <v>810</v>
      </c>
      <c r="F607" s="10" t="s">
        <v>336</v>
      </c>
      <c r="G607" s="11" t="n">
        <v>1617.83</v>
      </c>
      <c r="H607" s="11" t="n">
        <v>0</v>
      </c>
      <c r="I607" s="11" t="n">
        <v>0</v>
      </c>
      <c r="J607" s="11" t="n">
        <v>0</v>
      </c>
      <c r="K607" s="11" t="n">
        <v>0</v>
      </c>
      <c r="L607" s="11"/>
      <c r="M607" s="11" t="n">
        <v>1000</v>
      </c>
      <c r="N607" s="11"/>
      <c r="O607" s="11"/>
      <c r="P607" s="11" t="n">
        <f aca="false">K607+SUM(L607:O607)</f>
        <v>1000</v>
      </c>
      <c r="Q607" s="11" t="n">
        <v>0</v>
      </c>
      <c r="R607" s="12" t="n">
        <f aca="false">Q607/$P607</f>
        <v>0</v>
      </c>
      <c r="S607" s="11" t="n">
        <v>0</v>
      </c>
      <c r="T607" s="12" t="n">
        <f aca="false">S607/$P607</f>
        <v>0</v>
      </c>
      <c r="U607" s="11" t="n">
        <v>300</v>
      </c>
      <c r="V607" s="12" t="n">
        <f aca="false">U607/$P607</f>
        <v>0.3</v>
      </c>
      <c r="W607" s="11" t="n">
        <v>300</v>
      </c>
      <c r="X607" s="12" t="n">
        <f aca="false">W607/$P607</f>
        <v>0.3</v>
      </c>
      <c r="Y607" s="11" t="n">
        <v>3000</v>
      </c>
      <c r="Z607" s="11" t="n">
        <v>0</v>
      </c>
    </row>
    <row r="608" customFormat="false" ht="13.9" hidden="false" customHeight="true" outlineLevel="0" collapsed="false">
      <c r="A608" s="1" t="n">
        <v>9</v>
      </c>
      <c r="B608" s="1" t="n">
        <v>1</v>
      </c>
      <c r="D608" s="75" t="s">
        <v>21</v>
      </c>
      <c r="E608" s="35" t="n">
        <v>71</v>
      </c>
      <c r="F608" s="35" t="s">
        <v>24</v>
      </c>
      <c r="G608" s="36" t="n">
        <f aca="false">SUM(G607:G607)</f>
        <v>1617.83</v>
      </c>
      <c r="H608" s="36" t="n">
        <f aca="false">SUM(H607:H607)</f>
        <v>0</v>
      </c>
      <c r="I608" s="36" t="n">
        <f aca="false">SUM(I607:I607)</f>
        <v>0</v>
      </c>
      <c r="J608" s="36" t="n">
        <f aca="false">SUM(J607:J607)</f>
        <v>0</v>
      </c>
      <c r="K608" s="36" t="n">
        <f aca="false">SUM(K607:K607)</f>
        <v>0</v>
      </c>
      <c r="L608" s="36" t="n">
        <f aca="false">SUM(L607:L607)</f>
        <v>0</v>
      </c>
      <c r="M608" s="36" t="n">
        <f aca="false">SUM(M607:M607)</f>
        <v>1000</v>
      </c>
      <c r="N608" s="36" t="n">
        <f aca="false">SUM(N607:N607)</f>
        <v>0</v>
      </c>
      <c r="O608" s="36" t="n">
        <f aca="false">SUM(O607:O607)</f>
        <v>0</v>
      </c>
      <c r="P608" s="36" t="n">
        <f aca="false">SUM(P607:P607)</f>
        <v>1000</v>
      </c>
      <c r="Q608" s="36" t="n">
        <f aca="false">SUM(Q607:Q607)</f>
        <v>0</v>
      </c>
      <c r="R608" s="37" t="n">
        <f aca="false">Q608/$P608</f>
        <v>0</v>
      </c>
      <c r="S608" s="36" t="n">
        <f aca="false">SUM(S607:S607)</f>
        <v>0</v>
      </c>
      <c r="T608" s="37" t="n">
        <f aca="false">S608/$P608</f>
        <v>0</v>
      </c>
      <c r="U608" s="36" t="n">
        <f aca="false">SUM(U607:U607)</f>
        <v>300</v>
      </c>
      <c r="V608" s="37" t="n">
        <f aca="false">U608/$P608</f>
        <v>0.3</v>
      </c>
      <c r="W608" s="36" t="n">
        <f aca="false">SUM(W607:W607)</f>
        <v>300</v>
      </c>
      <c r="X608" s="37" t="n">
        <f aca="false">W608/$P608</f>
        <v>0.3</v>
      </c>
      <c r="Y608" s="36" t="n">
        <f aca="false">SUM(Y607:Y607)</f>
        <v>3000</v>
      </c>
      <c r="Z608" s="36" t="n">
        <f aca="false">SUM(Z607:Z607)</f>
        <v>0</v>
      </c>
    </row>
    <row r="609" customFormat="false" ht="13.9" hidden="false" customHeight="true" outlineLevel="0" collapsed="false">
      <c r="A609" s="1" t="n">
        <v>9</v>
      </c>
      <c r="B609" s="1" t="n">
        <v>1</v>
      </c>
      <c r="D609" s="77"/>
      <c r="E609" s="78"/>
      <c r="F609" s="13" t="s">
        <v>23</v>
      </c>
      <c r="G609" s="14" t="n">
        <f aca="false">SUM(G608:G608)</f>
        <v>1617.83</v>
      </c>
      <c r="H609" s="14" t="n">
        <f aca="false">SUM(H608:H608)</f>
        <v>0</v>
      </c>
      <c r="I609" s="14" t="n">
        <f aca="false">SUM(I608:I608)</f>
        <v>0</v>
      </c>
      <c r="J609" s="14" t="n">
        <f aca="false">SUM(J608:J608)</f>
        <v>0</v>
      </c>
      <c r="K609" s="14" t="n">
        <f aca="false">SUM(K608:K608)</f>
        <v>0</v>
      </c>
      <c r="L609" s="14" t="n">
        <f aca="false">SUM(L608:L608)</f>
        <v>0</v>
      </c>
      <c r="M609" s="14" t="n">
        <f aca="false">SUM(M608:M608)</f>
        <v>1000</v>
      </c>
      <c r="N609" s="14" t="n">
        <f aca="false">SUM(N608:N608)</f>
        <v>0</v>
      </c>
      <c r="O609" s="14" t="n">
        <f aca="false">SUM(O608:O608)</f>
        <v>0</v>
      </c>
      <c r="P609" s="14" t="n">
        <f aca="false">SUM(P608:P608)</f>
        <v>1000</v>
      </c>
      <c r="Q609" s="14" t="n">
        <f aca="false">SUM(Q608:Q608)</f>
        <v>0</v>
      </c>
      <c r="R609" s="15" t="n">
        <f aca="false">Q609/$P609</f>
        <v>0</v>
      </c>
      <c r="S609" s="14" t="n">
        <f aca="false">SUM(S608:S608)</f>
        <v>0</v>
      </c>
      <c r="T609" s="15" t="n">
        <f aca="false">S609/$P609</f>
        <v>0</v>
      </c>
      <c r="U609" s="14" t="n">
        <f aca="false">SUM(U608:U608)</f>
        <v>300</v>
      </c>
      <c r="V609" s="15" t="n">
        <f aca="false">U609/$P609</f>
        <v>0.3</v>
      </c>
      <c r="W609" s="14" t="n">
        <f aca="false">SUM(W608:W608)</f>
        <v>300</v>
      </c>
      <c r="X609" s="15" t="n">
        <f aca="false">W609/$P609</f>
        <v>0.3</v>
      </c>
      <c r="Y609" s="14" t="n">
        <f aca="false">SUM(Y608:Y608)</f>
        <v>3000</v>
      </c>
      <c r="Z609" s="14" t="n">
        <f aca="false">SUM(Z608:Z608)</f>
        <v>0</v>
      </c>
    </row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59">
    <mergeCell ref="D3:D19"/>
    <mergeCell ref="D22:Z22"/>
    <mergeCell ref="D24:D26"/>
    <mergeCell ref="D29:Z29"/>
    <mergeCell ref="D31:D33"/>
    <mergeCell ref="D36:Z36"/>
    <mergeCell ref="D38:D40"/>
    <mergeCell ref="D46:Z46"/>
    <mergeCell ref="D51:D54"/>
    <mergeCell ref="D60:Z60"/>
    <mergeCell ref="D62:D64"/>
    <mergeCell ref="D70:Z70"/>
    <mergeCell ref="D74:D75"/>
    <mergeCell ref="D86:Z86"/>
    <mergeCell ref="D88:D91"/>
    <mergeCell ref="D103:Z103"/>
    <mergeCell ref="D108:Z108"/>
    <mergeCell ref="D110:D112"/>
    <mergeCell ref="D114:D117"/>
    <mergeCell ref="D123:Z123"/>
    <mergeCell ref="D132:Z132"/>
    <mergeCell ref="D145:Z145"/>
    <mergeCell ref="D147:D149"/>
    <mergeCell ref="D152:Z152"/>
    <mergeCell ref="D154:D156"/>
    <mergeCell ref="D166:D167"/>
    <mergeCell ref="D183:D184"/>
    <mergeCell ref="D189:D192"/>
    <mergeCell ref="D209:D210"/>
    <mergeCell ref="D229:D232"/>
    <mergeCell ref="D247:D250"/>
    <mergeCell ref="D255:D257"/>
    <mergeCell ref="D262:D263"/>
    <mergeCell ref="D273:D275"/>
    <mergeCell ref="D285:D286"/>
    <mergeCell ref="D299:D301"/>
    <mergeCell ref="D323:D324"/>
    <mergeCell ref="D326:D329"/>
    <mergeCell ref="D351:D353"/>
    <mergeCell ref="D389:D390"/>
    <mergeCell ref="D400:D401"/>
    <mergeCell ref="D434:D436"/>
    <mergeCell ref="D441:D443"/>
    <mergeCell ref="D448:D450"/>
    <mergeCell ref="D452:D455"/>
    <mergeCell ref="D492:D494"/>
    <mergeCell ref="D499:D500"/>
    <mergeCell ref="D504:D509"/>
    <mergeCell ref="D514:D515"/>
    <mergeCell ref="D519:D524"/>
    <mergeCell ref="D532:D535"/>
    <mergeCell ref="D539:D540"/>
    <mergeCell ref="D544:D546"/>
    <mergeCell ref="D551:D552"/>
    <mergeCell ref="D558:D560"/>
    <mergeCell ref="D571:D572"/>
    <mergeCell ref="D573:D575"/>
    <mergeCell ref="D584:D586"/>
    <mergeCell ref="D604:D605"/>
  </mergeCells>
  <printOptions headings="false" gridLines="false" gridLinesSet="true" horizontalCentered="true" verticalCentered="false"/>
  <pageMargins left="0.236111111111111" right="0.236111111111111" top="0.3" bottom="0.3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2" manualBreakCount="12">
    <brk id="21" man="true" max="16383" min="0"/>
    <brk id="85" man="true" max="16383" min="0"/>
    <brk id="151" man="true" max="16383" min="0"/>
    <brk id="180" man="true" max="16383" min="0"/>
    <brk id="205" man="true" max="16383" min="0"/>
    <brk id="244" man="true" max="16383" min="0"/>
    <brk id="320" man="true" max="16383" min="0"/>
    <brk id="334" man="true" max="16383" min="0"/>
    <brk id="419" man="true" max="16383" min="0"/>
    <brk id="431" man="true" max="16383" min="0"/>
    <brk id="489" man="true" max="16383" min="0"/>
    <brk id="595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31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32" width="16.36"/>
    <col collapsed="false" customWidth="true" hidden="false" outlineLevel="0" max="2" min="2" style="132" width="17.57"/>
    <col collapsed="false" customWidth="true" hidden="false" outlineLevel="0" max="64" min="3" style="133" width="8.65"/>
  </cols>
  <sheetData>
    <row r="1" customFormat="false" ht="12.8" hidden="false" customHeight="false" outlineLevel="0" collapsed="false">
      <c r="A1" s="132" t="s">
        <v>337</v>
      </c>
      <c r="B1" s="132" t="s">
        <v>338</v>
      </c>
    </row>
    <row r="2" customFormat="false" ht="12.8" hidden="false" customHeight="false" outlineLevel="0" collapsed="false">
      <c r="A2" s="132" t="s">
        <v>1</v>
      </c>
      <c r="B2" s="132" t="s">
        <v>339</v>
      </c>
    </row>
    <row r="3" customFormat="false" ht="12.8" hidden="false" customHeight="false" outlineLevel="0" collapsed="false">
      <c r="A3" s="132" t="s">
        <v>2</v>
      </c>
      <c r="B3" s="132" t="s">
        <v>340</v>
      </c>
    </row>
    <row r="4" customFormat="false" ht="12.8" hidden="false" customHeight="false" outlineLevel="0" collapsed="false">
      <c r="A4" s="132" t="s">
        <v>3</v>
      </c>
      <c r="B4" s="132" t="s">
        <v>341</v>
      </c>
    </row>
    <row r="5" customFormat="false" ht="12.8" hidden="false" customHeight="false" outlineLevel="0" collapsed="false">
      <c r="A5" s="132" t="s">
        <v>4</v>
      </c>
      <c r="B5" s="132" t="s">
        <v>342</v>
      </c>
    </row>
    <row r="6" customFormat="false" ht="12.8" hidden="false" customHeight="false" outlineLevel="0" collapsed="false">
      <c r="A6" s="132" t="s">
        <v>5</v>
      </c>
      <c r="B6" s="132" t="s">
        <v>343</v>
      </c>
    </row>
    <row r="7" customFormat="false" ht="12.8" hidden="false" customHeight="false" outlineLevel="0" collapsed="false">
      <c r="A7" s="132" t="s">
        <v>19</v>
      </c>
      <c r="B7" s="132" t="s">
        <v>344</v>
      </c>
    </row>
    <row r="8" customFormat="false" ht="12.8" hidden="false" customHeight="false" outlineLevel="0" collapsed="false">
      <c r="A8" s="132" t="s">
        <v>20</v>
      </c>
      <c r="B8" s="132" t="s">
        <v>345</v>
      </c>
    </row>
    <row r="9" customFormat="false" ht="12.8" hidden="false" customHeight="false" outlineLevel="0" collapsed="false">
      <c r="A9" s="132" t="s">
        <v>346</v>
      </c>
      <c r="B9" s="132" t="s">
        <v>347</v>
      </c>
    </row>
    <row r="10" customFormat="false" ht="12.8" hidden="false" customHeight="false" outlineLevel="0" collapsed="false">
      <c r="A10" s="132" t="s">
        <v>348</v>
      </c>
      <c r="B10" s="132" t="s">
        <v>349</v>
      </c>
    </row>
    <row r="11" customFormat="false" ht="12.8" hidden="false" customHeight="false" outlineLevel="0" collapsed="false">
      <c r="A11" s="132" t="s">
        <v>350</v>
      </c>
      <c r="B11" s="132" t="s">
        <v>351</v>
      </c>
    </row>
    <row r="12" customFormat="false" ht="12.8" hidden="false" customHeight="false" outlineLevel="0" collapsed="false">
      <c r="A12" s="132" t="s">
        <v>84</v>
      </c>
      <c r="B12" s="132" t="s">
        <v>352</v>
      </c>
    </row>
    <row r="13" customFormat="false" ht="12.8" hidden="false" customHeight="false" outlineLevel="0" collapsed="false">
      <c r="A13" s="132" t="s">
        <v>34</v>
      </c>
      <c r="B13" s="132" t="s">
        <v>353</v>
      </c>
    </row>
    <row r="14" customFormat="false" ht="12.8" hidden="false" customHeight="false" outlineLevel="0" collapsed="false">
      <c r="A14" s="132" t="s">
        <v>354</v>
      </c>
      <c r="B14" s="132" t="s">
        <v>223</v>
      </c>
    </row>
    <row r="15" customFormat="false" ht="12.8" hidden="false" customHeight="false" outlineLevel="0" collapsed="false">
      <c r="A15" s="132" t="s">
        <v>33</v>
      </c>
      <c r="B15" s="132" t="s">
        <v>355</v>
      </c>
    </row>
    <row r="16" customFormat="false" ht="12.8" hidden="false" customHeight="false" outlineLevel="0" collapsed="false">
      <c r="A16" s="132" t="s">
        <v>356</v>
      </c>
      <c r="B16" s="132" t="s">
        <v>357</v>
      </c>
    </row>
    <row r="17" customFormat="false" ht="12.8" hidden="false" customHeight="false" outlineLevel="0" collapsed="false">
      <c r="A17" s="132" t="s">
        <v>358</v>
      </c>
      <c r="B17" s="132" t="s">
        <v>359</v>
      </c>
    </row>
    <row r="18" customFormat="false" ht="12.8" hidden="false" customHeight="false" outlineLevel="0" collapsed="false">
      <c r="A18" s="132" t="s">
        <v>360</v>
      </c>
      <c r="B18" s="132" t="s">
        <v>361</v>
      </c>
    </row>
    <row r="19" customFormat="false" ht="12.8" hidden="false" customHeight="false" outlineLevel="0" collapsed="false">
      <c r="A19" s="132" t="s">
        <v>362</v>
      </c>
      <c r="B19" s="132" t="s">
        <v>363</v>
      </c>
    </row>
    <row r="20" customFormat="false" ht="12.8" hidden="false" customHeight="false" outlineLevel="0" collapsed="false">
      <c r="A20" s="132" t="s">
        <v>116</v>
      </c>
      <c r="B20" s="132" t="s">
        <v>364</v>
      </c>
    </row>
    <row r="21" customFormat="false" ht="12.8" hidden="false" customHeight="false" outlineLevel="0" collapsed="false">
      <c r="A21" s="132" t="s">
        <v>117</v>
      </c>
      <c r="B21" s="132" t="s">
        <v>365</v>
      </c>
    </row>
    <row r="22" customFormat="false" ht="12.8" hidden="false" customHeight="false" outlineLevel="0" collapsed="false">
      <c r="A22" s="132" t="s">
        <v>118</v>
      </c>
      <c r="B22" s="132" t="s">
        <v>366</v>
      </c>
    </row>
    <row r="23" customFormat="false" ht="12.8" hidden="false" customHeight="false" outlineLevel="0" collapsed="false">
      <c r="A23" s="132" t="s">
        <v>50</v>
      </c>
      <c r="B23" s="132" t="s">
        <v>367</v>
      </c>
    </row>
    <row r="24" customFormat="false" ht="12.8" hidden="false" customHeight="false" outlineLevel="0" collapsed="false">
      <c r="A24" s="132" t="s">
        <v>253</v>
      </c>
      <c r="B24" s="132" t="s">
        <v>368</v>
      </c>
    </row>
    <row r="25" customFormat="false" ht="12.8" hidden="false" customHeight="false" outlineLevel="0" collapsed="false">
      <c r="A25" s="132" t="s">
        <v>369</v>
      </c>
      <c r="B25" s="132" t="s">
        <v>370</v>
      </c>
    </row>
    <row r="26" customFormat="false" ht="12.8" hidden="false" customHeight="false" outlineLevel="0" collapsed="false">
      <c r="A26" s="132" t="s">
        <v>371</v>
      </c>
      <c r="B26" s="132" t="s">
        <v>372</v>
      </c>
    </row>
    <row r="27" customFormat="false" ht="12.8" hidden="false" customHeight="false" outlineLevel="0" collapsed="false">
      <c r="A27" s="132" t="s">
        <v>373</v>
      </c>
      <c r="B27" s="132" t="s">
        <v>374</v>
      </c>
    </row>
    <row r="28" customFormat="false" ht="12.8" hidden="false" customHeight="false" outlineLevel="0" collapsed="false">
      <c r="A28" s="132" t="s">
        <v>375</v>
      </c>
      <c r="B28" s="132" t="s">
        <v>376</v>
      </c>
    </row>
    <row r="29" customFormat="false" ht="12.8" hidden="false" customHeight="false" outlineLevel="0" collapsed="false">
      <c r="A29" s="132" t="s">
        <v>377</v>
      </c>
      <c r="B29" s="132" t="s">
        <v>378</v>
      </c>
    </row>
    <row r="30" customFormat="false" ht="12.8" hidden="false" customHeight="false" outlineLevel="0" collapsed="false">
      <c r="A30" s="132" t="s">
        <v>379</v>
      </c>
      <c r="B30" s="132" t="s">
        <v>380</v>
      </c>
    </row>
    <row r="31" customFormat="false" ht="12.8" hidden="false" customHeight="false" outlineLevel="0" collapsed="false">
      <c r="A31" s="132" t="s">
        <v>381</v>
      </c>
      <c r="B31" s="132" t="s">
        <v>382</v>
      </c>
    </row>
  </sheetData>
  <printOptions headings="false" gridLines="false" gridLinesSet="true" horizontalCentered="false" verticalCentered="false"/>
  <pageMargins left="0.196527777777778" right="0" top="0" bottom="0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4281</TotalTime>
  <Application>LibreOffice/7.5.3.2$Linux_X86_64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Schválený 30. 12. 2021 uznesením č. VII-5/2021
Úpravy:
RO č. 1-1/2022 z 01. 03. 2022 schválené starostkou obce,
RO č. 1-2/2022 zo 14. 03. 2022 schválené uznesením č. I-9/2022,
RO č. 2-1/2022 z 21. 06. 2022 schválené uznesením č. III-5/2022,
RO č. 2-2/2022 z 22. 06. 2022 schválené starostkou obce,
RO č. 3-1/2022 z 01. 09. 2022 schválené starostkou obce,
RO č. 4-1/2022 z 02. 11. 2022 schválené starostkou obce,
RO č. 4-2/2022 z 09. 12. 2022 schválené uznesením č. V-10/2022,
RO č. 4-3/2022 z 12. 11. 2022 schválené starostkou obce.</dc:description>
  <cp:keywords>rozpočet čerpanie úpravy obec Nesluša 2022</cp:keywords>
  <dc:language>sk-SK</dc:language>
  <cp:lastModifiedBy>Matej Tabaček</cp:lastModifiedBy>
  <dcterms:modified xsi:type="dcterms:W3CDTF">2023-06-09T17:54:30Z</dcterms:modified>
  <cp:revision>339</cp:revision>
  <dc:subject>Čerpanie a úpravy rozpočtu Obce Nesluša</dc:subject>
  <dc:title>Rozpočet 2022 - Obec Nesluša (čerpanie a úpravy)</dc:title>
</cp:coreProperties>
</file>